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alixl\Desktop\"/>
    </mc:Choice>
  </mc:AlternateContent>
  <xr:revisionPtr revIDLastSave="0" documentId="13_ncr:1_{275815C0-42F4-4D68-A0D3-13EB46BB0426}" xr6:coauthVersionLast="47" xr6:coauthVersionMax="47" xr10:uidLastSave="{00000000-0000-0000-0000-000000000000}"/>
  <workbookProtection workbookAlgorithmName="SHA-512" workbookHashValue="1DExqtUzBIxxG+lkv2C8QkkdsAob5CKO8GgGilCDE8K1t5kgcgbjo6RFYZ9FZpnUePZspd/4HL7796+ER1hGkA==" workbookSaltValue="Y2OifM6sj5OzL3QtAqifjQ==" workbookSpinCount="100000" lockStructure="1"/>
  <bookViews>
    <workbookView xWindow="-120" yWindow="-120" windowWidth="20730" windowHeight="11160" tabRatio="608" xr2:uid="{29278635-C00F-4C2F-9151-EE1F2F220BD6}"/>
  </bookViews>
  <sheets>
    <sheet name="Mapa_RSD" sheetId="3" r:id="rId1"/>
    <sheet name="Reporte_RSD" sheetId="8" state="hidden" r:id="rId2"/>
    <sheet name="Versionador_RSD" sheetId="10" state="hidden" r:id="rId3"/>
    <sheet name="Control_RSD" sheetId="4" state="hidden" r:id="rId4"/>
    <sheet name="Condiciones_RSD" sheetId="2" r:id="rId5"/>
    <sheet name="Amenazas" sheetId="13" r:id="rId6"/>
    <sheet name="Matrices_RSD" sheetId="9" state="hidden" r:id="rId7"/>
    <sheet name="Vulnerabilidades" sheetId="11" r:id="rId8"/>
  </sheets>
  <definedNames>
    <definedName name="_xlnm._FilterDatabase" localSheetId="3" hidden="1">Control_RSD!$A$5:$R$125</definedName>
    <definedName name="_xlnm._FilterDatabase" localSheetId="0" hidden="1">Mapa_RSD!$B$5:$Y$41</definedName>
    <definedName name="_xlnm._FilterDatabase" localSheetId="1" hidden="1">Reporte_RSD!$A$5:$T$353</definedName>
    <definedName name="ActivoInformación">Condiciones_RSD!$G$71:$G$76</definedName>
    <definedName name="Afectación">Condiciones_RSD!$B$12:$F$12</definedName>
    <definedName name="C_Atributos">Condiciones_RSD!$M$13:$M$18</definedName>
    <definedName name="C_Efecto">Condiciones_RSD!$O$6:$O$8</definedName>
    <definedName name="C_Forma">Condiciones_RSD!$L$9:$L$10</definedName>
    <definedName name="C_Frecuencia">Condiciones_RSD!$J$71:$J$77</definedName>
    <definedName name="C_Momento">Condiciones_RSD!$L$6:$L$8</definedName>
    <definedName name="C_Peso">Condiciones_RSD!$N$13:$N$18</definedName>
    <definedName name="Económica">Condiciones_RSD!$B$14:$B$18</definedName>
    <definedName name="F_Evento_Externo">Condiciones_RSD!$G$101:$G$103</definedName>
    <definedName name="F_Infraestructura">Condiciones_RSD!$G$97:$G$100</definedName>
    <definedName name="F_Procesos">Condiciones_RSD!$G$86:$G$89</definedName>
    <definedName name="F_Talento_Humano">Condiciones_RSD!$G$90:$G$92</definedName>
    <definedName name="F_Tecnología">Condiciones_RSD!$G$93:$G$96</definedName>
    <definedName name="Factor">Condiciones_RSD!$I$86:$I$90</definedName>
    <definedName name="Frecuencia">Condiciones_RSD!$D$5:$D$9</definedName>
    <definedName name="I_Cualitativo">Condiciones_RSD!$I$14:$I$18</definedName>
    <definedName name="I_Cuantitativo">Condiciones_RSD!$H$14:$H$18</definedName>
    <definedName name="Imagen">Condiciones_RSD!$F$12</definedName>
    <definedName name="P_Cualitativa">Condiciones_RSD!$I$5:$I$9</definedName>
    <definedName name="P_Cuantitativa">Condiciones_RSD!$H$5:$H$9</definedName>
    <definedName name="Pesos">Condiciones_RSD!$B$12</definedName>
    <definedName name="Procesos">Condiciones_RSD!$B$71:$B$83</definedName>
    <definedName name="Reputacional">Condiciones_RSD!$F$14:$F$18</definedName>
    <definedName name="RiesgoSD">Condiciones_RSD!$H$71:$H$73</definedName>
    <definedName name="S_Nivel">Condiciones_RSD!$I$21:$I$45</definedName>
    <definedName name="S_Posición">Condiciones_RSD!$H$21:$H$45</definedName>
    <definedName name="Severidad">Condiciones_RSD!$B$21:$B$45</definedName>
    <definedName name="Tratamiento">Condiciones_RSD!$H$106:$H$109</definedName>
  </definedNames>
  <calcPr calcId="191028"/>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K33" i="3"/>
  <c r="K26" i="3"/>
  <c r="K27" i="3"/>
  <c r="K28" i="3"/>
  <c r="K16" i="3"/>
  <c r="K30" i="3"/>
  <c r="K31" i="3"/>
  <c r="K32" i="3"/>
  <c r="K40" i="3"/>
  <c r="K41" i="3"/>
  <c r="K8" i="3"/>
  <c r="K9" i="3"/>
  <c r="K18" i="3"/>
  <c r="K19" i="3"/>
  <c r="K20" i="3"/>
  <c r="K21" i="3"/>
  <c r="K6" i="3"/>
  <c r="K10" i="3"/>
  <c r="K11" i="3"/>
  <c r="K12" i="3"/>
  <c r="K35" i="3"/>
  <c r="K36" i="3"/>
  <c r="K37" i="3"/>
  <c r="K38" i="3"/>
  <c r="K39" i="3"/>
  <c r="K13" i="3"/>
  <c r="K29" i="3"/>
  <c r="K17" i="3"/>
  <c r="K22" i="3"/>
  <c r="K14" i="3"/>
  <c r="K15" i="3"/>
  <c r="K34" i="3"/>
  <c r="K7" i="3"/>
  <c r="K23" i="3"/>
  <c r="K24" i="3"/>
  <c r="K25" i="3"/>
  <c r="P6" i="9"/>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7" i="8" s="1"/>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6"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7" i="4"/>
  <c r="B6" i="4"/>
  <c r="E7" i="4" l="1"/>
  <c r="T6" i="4" l="1"/>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105" i="4"/>
  <c r="T106" i="4"/>
  <c r="T107" i="4"/>
  <c r="T108" i="4"/>
  <c r="T109" i="4"/>
  <c r="T110" i="4"/>
  <c r="T111" i="4"/>
  <c r="T112" i="4"/>
  <c r="T113" i="4"/>
  <c r="T114" i="4"/>
  <c r="T115" i="4"/>
  <c r="T116" i="4"/>
  <c r="T117" i="4"/>
  <c r="T118" i="4"/>
  <c r="T119" i="4"/>
  <c r="T120" i="4"/>
  <c r="T121" i="4"/>
  <c r="T122" i="4"/>
  <c r="T123" i="4"/>
  <c r="T124" i="4"/>
  <c r="T125" i="4"/>
  <c r="T126" i="4"/>
  <c r="T127" i="4"/>
  <c r="T128" i="4"/>
  <c r="T129" i="4"/>
  <c r="T130" i="4"/>
  <c r="T131" i="4"/>
  <c r="T132" i="4"/>
  <c r="T133" i="4"/>
  <c r="T134" i="4"/>
  <c r="T135" i="4"/>
  <c r="T136" i="4"/>
  <c r="T137" i="4"/>
  <c r="T138" i="4"/>
  <c r="T139" i="4"/>
  <c r="T140" i="4"/>
  <c r="T141" i="4"/>
  <c r="T142" i="4"/>
  <c r="T143" i="4"/>
  <c r="T144" i="4"/>
  <c r="T145" i="4"/>
  <c r="T146" i="4"/>
  <c r="T147" i="4"/>
  <c r="T148" i="4"/>
  <c r="T149" i="4"/>
  <c r="T150" i="4"/>
  <c r="T151" i="4"/>
  <c r="T152" i="4"/>
  <c r="T153" i="4"/>
  <c r="T154" i="4"/>
  <c r="T155" i="4"/>
  <c r="T156" i="4"/>
  <c r="T157" i="4"/>
  <c r="T158" i="4"/>
  <c r="T159" i="4"/>
  <c r="T160" i="4"/>
  <c r="T161" i="4"/>
  <c r="T162" i="4"/>
  <c r="T163" i="4"/>
  <c r="T164" i="4"/>
  <c r="T165" i="4"/>
  <c r="T166" i="4"/>
  <c r="T167" i="4"/>
  <c r="T168" i="4"/>
  <c r="T169" i="4"/>
  <c r="T170" i="4"/>
  <c r="T171" i="4"/>
  <c r="T172" i="4"/>
  <c r="T173" i="4"/>
  <c r="T174" i="4"/>
  <c r="T175" i="4"/>
  <c r="T176" i="4"/>
  <c r="T177" i="4"/>
  <c r="T178" i="4"/>
  <c r="T179" i="4"/>
  <c r="T180" i="4"/>
  <c r="T181" i="4"/>
  <c r="T182" i="4"/>
  <c r="T183" i="4"/>
  <c r="T184" i="4"/>
  <c r="T185" i="4"/>
  <c r="T186" i="4"/>
  <c r="T187" i="4"/>
  <c r="T188" i="4"/>
  <c r="T189" i="4"/>
  <c r="T190" i="4"/>
  <c r="T191" i="4"/>
  <c r="T192" i="4"/>
  <c r="T193" i="4"/>
  <c r="T194" i="4"/>
  <c r="T195" i="4"/>
  <c r="T196" i="4"/>
  <c r="T197" i="4"/>
  <c r="T198" i="4"/>
  <c r="T199" i="4"/>
  <c r="T200" i="4"/>
  <c r="T201" i="4"/>
  <c r="T202" i="4"/>
  <c r="T203" i="4"/>
  <c r="T204" i="4"/>
  <c r="T205" i="4"/>
  <c r="T206" i="4"/>
  <c r="T207" i="4"/>
  <c r="T208" i="4"/>
  <c r="T209" i="4"/>
  <c r="T210" i="4"/>
  <c r="T211" i="4"/>
  <c r="T212" i="4"/>
  <c r="T213" i="4"/>
  <c r="T214" i="4"/>
  <c r="T215" i="4"/>
  <c r="T216" i="4"/>
  <c r="T217" i="4"/>
  <c r="T218" i="4"/>
  <c r="T219" i="4"/>
  <c r="T220" i="4"/>
  <c r="T221" i="4"/>
  <c r="T222" i="4"/>
  <c r="T223" i="4"/>
  <c r="T224" i="4"/>
  <c r="T225" i="4"/>
  <c r="T226" i="4"/>
  <c r="T227" i="4"/>
  <c r="T228" i="4"/>
  <c r="T229" i="4"/>
  <c r="T230" i="4"/>
  <c r="T231" i="4"/>
  <c r="T232" i="4"/>
  <c r="T233" i="4"/>
  <c r="T234" i="4"/>
  <c r="T235" i="4"/>
  <c r="T236" i="4"/>
  <c r="T237" i="4"/>
  <c r="T238" i="4"/>
  <c r="T239" i="4"/>
  <c r="T240" i="4"/>
  <c r="T241" i="4"/>
  <c r="T242" i="4"/>
  <c r="T243" i="4"/>
  <c r="T244" i="4"/>
  <c r="T245" i="4"/>
  <c r="T246" i="4"/>
  <c r="T247" i="4"/>
  <c r="T248" i="4"/>
  <c r="T249" i="4"/>
  <c r="T250" i="4"/>
  <c r="T251" i="4"/>
  <c r="T252" i="4"/>
  <c r="T253" i="4"/>
  <c r="T254" i="4"/>
  <c r="T255" i="4"/>
  <c r="T256" i="4"/>
  <c r="T257" i="4"/>
  <c r="T258" i="4"/>
  <c r="T259" i="4"/>
  <c r="T260" i="4"/>
  <c r="T261" i="4"/>
  <c r="T262" i="4"/>
  <c r="T263" i="4"/>
  <c r="T264" i="4"/>
  <c r="T265" i="4"/>
  <c r="T266" i="4"/>
  <c r="T267" i="4"/>
  <c r="T268" i="4"/>
  <c r="T269" i="4"/>
  <c r="T270" i="4"/>
  <c r="T271" i="4"/>
  <c r="T272" i="4"/>
  <c r="T273" i="4"/>
  <c r="T274" i="4"/>
  <c r="T275" i="4"/>
  <c r="T276" i="4"/>
  <c r="T277" i="4"/>
  <c r="T278" i="4"/>
  <c r="T279" i="4"/>
  <c r="T280" i="4"/>
  <c r="T281" i="4"/>
  <c r="T282" i="4"/>
  <c r="T283" i="4"/>
  <c r="T284" i="4"/>
  <c r="T285" i="4"/>
  <c r="T286" i="4"/>
  <c r="T287" i="4"/>
  <c r="T288" i="4"/>
  <c r="T289" i="4"/>
  <c r="T290" i="4"/>
  <c r="T291" i="4"/>
  <c r="T292" i="4"/>
  <c r="T293" i="4"/>
  <c r="T294" i="4"/>
  <c r="T295" i="4"/>
  <c r="T296" i="4"/>
  <c r="T297" i="4"/>
  <c r="T298" i="4"/>
  <c r="T299" i="4"/>
  <c r="T300" i="4"/>
  <c r="T301" i="4"/>
  <c r="T302" i="4"/>
  <c r="T303" i="4"/>
  <c r="T304" i="4"/>
  <c r="T305" i="4"/>
  <c r="T306" i="4"/>
  <c r="T307" i="4"/>
  <c r="T308" i="4"/>
  <c r="T309" i="4"/>
  <c r="T310" i="4"/>
  <c r="T311" i="4"/>
  <c r="T312" i="4"/>
  <c r="T313" i="4"/>
  <c r="T314" i="4"/>
  <c r="T315" i="4"/>
  <c r="T316" i="4"/>
  <c r="T317" i="4"/>
  <c r="T318" i="4"/>
  <c r="T319" i="4"/>
  <c r="T320" i="4"/>
  <c r="T321" i="4"/>
  <c r="T322" i="4"/>
  <c r="T323" i="4"/>
  <c r="T324" i="4"/>
  <c r="T325" i="4"/>
  <c r="T326" i="4"/>
  <c r="T327" i="4"/>
  <c r="T328" i="4"/>
  <c r="T329" i="4"/>
  <c r="T330" i="4"/>
  <c r="T331" i="4"/>
  <c r="T332" i="4"/>
  <c r="T333" i="4"/>
  <c r="T334" i="4"/>
  <c r="T335" i="4"/>
  <c r="T336" i="4"/>
  <c r="T337" i="4"/>
  <c r="T338" i="4"/>
  <c r="T339" i="4"/>
  <c r="T340" i="4"/>
  <c r="T341" i="4"/>
  <c r="T342" i="4"/>
  <c r="T343" i="4"/>
  <c r="T344" i="4"/>
  <c r="T345" i="4"/>
  <c r="T346" i="4"/>
  <c r="T347" i="4"/>
  <c r="T348" i="4"/>
  <c r="T349" i="4"/>
  <c r="T350" i="4"/>
  <c r="T351" i="4"/>
  <c r="T352" i="4"/>
  <c r="T353" i="4"/>
  <c r="U7" i="4" l="1"/>
  <c r="O6" i="10"/>
  <c r="N6" i="10"/>
  <c r="M6" i="10"/>
  <c r="L6" i="10"/>
  <c r="K6" i="10"/>
  <c r="J6" i="10"/>
  <c r="I6" i="10"/>
  <c r="H6" i="10"/>
  <c r="G6" i="10"/>
  <c r="F6" i="10"/>
  <c r="E6" i="10"/>
  <c r="C6" i="10"/>
  <c r="B6" i="10"/>
  <c r="Y6" i="9"/>
  <c r="Z6" i="9"/>
  <c r="AA6" i="9"/>
  <c r="AB6" i="9"/>
  <c r="AC6" i="9"/>
  <c r="Z7" i="9"/>
  <c r="AA7" i="9"/>
  <c r="AB7" i="9"/>
  <c r="AC7" i="9"/>
  <c r="Z8" i="9"/>
  <c r="AA8" i="9"/>
  <c r="AB8" i="9"/>
  <c r="AC8" i="9"/>
  <c r="Z9" i="9"/>
  <c r="AA9" i="9"/>
  <c r="AB9" i="9"/>
  <c r="AC9" i="9"/>
  <c r="Z10" i="9"/>
  <c r="AA10" i="9"/>
  <c r="AB10" i="9"/>
  <c r="AC10" i="9"/>
  <c r="Y7" i="9"/>
  <c r="Y8" i="9"/>
  <c r="Y9" i="9"/>
  <c r="Y10" i="9"/>
  <c r="O15" i="9"/>
  <c r="P15" i="9"/>
  <c r="Q15" i="9"/>
  <c r="R15" i="9"/>
  <c r="O16" i="9"/>
  <c r="P16" i="9"/>
  <c r="Q16" i="9"/>
  <c r="R16" i="9"/>
  <c r="O17" i="9"/>
  <c r="P17" i="9"/>
  <c r="Q17" i="9"/>
  <c r="R17" i="9"/>
  <c r="O18" i="9"/>
  <c r="P18" i="9"/>
  <c r="Q18" i="9"/>
  <c r="R18" i="9"/>
  <c r="O19" i="9"/>
  <c r="P19" i="9"/>
  <c r="Q19" i="9"/>
  <c r="R19" i="9"/>
  <c r="N16" i="9"/>
  <c r="N17" i="9"/>
  <c r="N18" i="9"/>
  <c r="N19" i="9"/>
  <c r="N15" i="9"/>
  <c r="O6" i="9"/>
  <c r="Q6" i="9"/>
  <c r="R6" i="9"/>
  <c r="O7" i="9"/>
  <c r="P7" i="9"/>
  <c r="Q7" i="9"/>
  <c r="R7" i="9"/>
  <c r="O8" i="9"/>
  <c r="P8" i="9"/>
  <c r="Q8" i="9"/>
  <c r="R8" i="9"/>
  <c r="O9" i="9"/>
  <c r="P9" i="9"/>
  <c r="Q9" i="9"/>
  <c r="R9" i="9"/>
  <c r="O10" i="9"/>
  <c r="P10" i="9"/>
  <c r="Q10" i="9"/>
  <c r="R10" i="9"/>
  <c r="N7" i="9"/>
  <c r="N8" i="9"/>
  <c r="N9" i="9"/>
  <c r="N10" i="9"/>
  <c r="N6" i="9"/>
  <c r="M5" i="9" l="1"/>
  <c r="M14"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A56" i="9"/>
  <c r="A57" i="9"/>
  <c r="A58" i="9"/>
  <c r="A59" i="9"/>
  <c r="A60" i="9"/>
  <c r="A61" i="9"/>
  <c r="A62" i="9"/>
  <c r="A63" i="9"/>
  <c r="A47" i="9"/>
  <c r="A48" i="9"/>
  <c r="A49" i="9"/>
  <c r="A50" i="9"/>
  <c r="A51" i="9"/>
  <c r="A52" i="9"/>
  <c r="A53" i="9"/>
  <c r="A54" i="9"/>
  <c r="A55" i="9"/>
  <c r="A39" i="9"/>
  <c r="A40" i="9"/>
  <c r="A41" i="9"/>
  <c r="A42" i="9"/>
  <c r="A43" i="9"/>
  <c r="A44" i="9"/>
  <c r="A45" i="9"/>
  <c r="A46" i="9"/>
  <c r="A33" i="9"/>
  <c r="A34" i="9"/>
  <c r="A35" i="9"/>
  <c r="A36" i="9"/>
  <c r="A37" i="9"/>
  <c r="A38" i="9"/>
  <c r="A26" i="9"/>
  <c r="A27" i="9"/>
  <c r="A28" i="9"/>
  <c r="A29" i="9"/>
  <c r="A30" i="9"/>
  <c r="A31" i="9"/>
  <c r="A32" i="9"/>
  <c r="A6" i="9"/>
  <c r="A7" i="9"/>
  <c r="A8" i="9"/>
  <c r="A9" i="9"/>
  <c r="A10" i="9"/>
  <c r="A11" i="9"/>
  <c r="A12" i="9"/>
  <c r="A13" i="9"/>
  <c r="A14" i="9"/>
  <c r="A15" i="9"/>
  <c r="A16" i="9"/>
  <c r="A17" i="9"/>
  <c r="A18" i="9"/>
  <c r="A19" i="9"/>
  <c r="A20" i="9"/>
  <c r="A21" i="9"/>
  <c r="A22" i="9"/>
  <c r="A23" i="9"/>
  <c r="A24" i="9"/>
  <c r="A25" i="9"/>
  <c r="X5" i="9"/>
  <c r="E6" i="4"/>
  <c r="U6" i="10"/>
  <c r="E17" i="9"/>
  <c r="C29" i="9"/>
  <c r="C41" i="9"/>
  <c r="C45" i="9"/>
  <c r="E53" i="9"/>
  <c r="V6" i="4" l="1"/>
  <c r="R6" i="10"/>
  <c r="S6" i="10"/>
  <c r="E35" i="9"/>
  <c r="C47" i="9"/>
  <c r="E23" i="9"/>
  <c r="E59" i="9"/>
  <c r="C11" i="9"/>
  <c r="C58" i="9"/>
  <c r="E10" i="9"/>
  <c r="C59" i="9"/>
  <c r="E47" i="9"/>
  <c r="E11" i="9"/>
  <c r="C34" i="9"/>
  <c r="C35" i="9"/>
  <c r="C10" i="9"/>
  <c r="E58" i="9"/>
  <c r="E16" i="9"/>
  <c r="E40" i="9"/>
  <c r="E21" i="9"/>
  <c r="C23" i="9"/>
  <c r="C20" i="9"/>
  <c r="E52" i="9"/>
  <c r="E28" i="9"/>
  <c r="E34" i="9"/>
  <c r="C18" i="9"/>
  <c r="E18" i="9"/>
  <c r="E55" i="9"/>
  <c r="C55" i="9"/>
  <c r="C50" i="9"/>
  <c r="C42" i="9"/>
  <c r="E42" i="9"/>
  <c r="E7" i="9"/>
  <c r="C7" i="9"/>
  <c r="E38" i="9"/>
  <c r="E24" i="9"/>
  <c r="E51" i="9"/>
  <c r="C15" i="9"/>
  <c r="E26" i="9"/>
  <c r="E36" i="9"/>
  <c r="E12" i="9"/>
  <c r="C30" i="9"/>
  <c r="E30" i="9"/>
  <c r="C63" i="9"/>
  <c r="E63" i="9"/>
  <c r="E39" i="9"/>
  <c r="E14" i="9"/>
  <c r="C44" i="9"/>
  <c r="E50" i="9"/>
  <c r="E48" i="9"/>
  <c r="E31" i="9"/>
  <c r="C31" i="9"/>
  <c r="E27" i="9"/>
  <c r="E62" i="9"/>
  <c r="T6" i="10"/>
  <c r="E60" i="9"/>
  <c r="E45" i="9"/>
  <c r="C52" i="9"/>
  <c r="C40" i="9"/>
  <c r="C28" i="9"/>
  <c r="C16" i="9"/>
  <c r="C53" i="9"/>
  <c r="C17" i="9"/>
  <c r="E41" i="9"/>
  <c r="E44" i="9"/>
  <c r="C26" i="9"/>
  <c r="E29" i="9"/>
  <c r="C39" i="9"/>
  <c r="D318" i="8"/>
  <c r="D241" i="8"/>
  <c r="D307" i="8"/>
  <c r="D193" i="8"/>
  <c r="D296" i="8"/>
  <c r="D132" i="8"/>
  <c r="D201" i="8"/>
  <c r="D223" i="8"/>
  <c r="D169" i="8"/>
  <c r="D313" i="8"/>
  <c r="D265" i="8"/>
  <c r="D235" i="8"/>
  <c r="D126" i="8"/>
  <c r="D325" i="8"/>
  <c r="A340" i="8"/>
  <c r="A341" i="8"/>
  <c r="A342" i="8"/>
  <c r="A343" i="8"/>
  <c r="A344" i="8"/>
  <c r="A345" i="8"/>
  <c r="A346" i="8"/>
  <c r="A347" i="8"/>
  <c r="A348" i="8"/>
  <c r="A349" i="8"/>
  <c r="A350" i="8"/>
  <c r="A351" i="8"/>
  <c r="A352" i="8"/>
  <c r="A353"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278" i="8"/>
  <c r="A279" i="8"/>
  <c r="A280" i="8"/>
  <c r="A281" i="8"/>
  <c r="A282" i="8"/>
  <c r="A283" i="8"/>
  <c r="A284" i="8"/>
  <c r="A285" i="8"/>
  <c r="A286" i="8"/>
  <c r="A287" i="8"/>
  <c r="A288" i="8"/>
  <c r="A289"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32" i="8"/>
  <c r="A233" i="8"/>
  <c r="A234" i="8"/>
  <c r="A235" i="8"/>
  <c r="A236" i="8"/>
  <c r="A237" i="8"/>
  <c r="A238" i="8"/>
  <c r="C238" i="8"/>
  <c r="A239" i="8"/>
  <c r="A240" i="8"/>
  <c r="A241" i="8"/>
  <c r="A242" i="8"/>
  <c r="A243" i="8"/>
  <c r="A244" i="8"/>
  <c r="A245" i="8"/>
  <c r="A246" i="8"/>
  <c r="A247" i="8"/>
  <c r="A248" i="8"/>
  <c r="A249" i="8"/>
  <c r="A250" i="8"/>
  <c r="A213" i="8"/>
  <c r="A214" i="8"/>
  <c r="A215" i="8"/>
  <c r="A216" i="8"/>
  <c r="A217" i="8"/>
  <c r="A218" i="8"/>
  <c r="A219" i="8"/>
  <c r="A220" i="8"/>
  <c r="A221" i="8"/>
  <c r="A222" i="8"/>
  <c r="A223" i="8"/>
  <c r="A224" i="8"/>
  <c r="A225" i="8"/>
  <c r="A226" i="8"/>
  <c r="A227" i="8"/>
  <c r="A228" i="8"/>
  <c r="A229" i="8"/>
  <c r="A230" i="8"/>
  <c r="A231" i="8"/>
  <c r="A189" i="8"/>
  <c r="A190" i="8"/>
  <c r="A191" i="8"/>
  <c r="A192" i="8"/>
  <c r="A193" i="8"/>
  <c r="A194" i="8"/>
  <c r="A195" i="8"/>
  <c r="A196" i="8"/>
  <c r="A197" i="8"/>
  <c r="A198" i="8"/>
  <c r="A199" i="8"/>
  <c r="A200" i="8"/>
  <c r="A201" i="8"/>
  <c r="A202" i="8"/>
  <c r="A203" i="8"/>
  <c r="A204" i="8"/>
  <c r="A205" i="8"/>
  <c r="A206" i="8"/>
  <c r="A207" i="8"/>
  <c r="A208" i="8"/>
  <c r="A209" i="8"/>
  <c r="A210" i="8"/>
  <c r="A211" i="8"/>
  <c r="A212" i="8"/>
  <c r="A178" i="8"/>
  <c r="A179" i="8"/>
  <c r="A180" i="8"/>
  <c r="A181" i="8"/>
  <c r="A182" i="8"/>
  <c r="A183" i="8"/>
  <c r="A184" i="8"/>
  <c r="A185" i="8"/>
  <c r="A186" i="8"/>
  <c r="A187" i="8"/>
  <c r="A188" i="8"/>
  <c r="A167" i="8"/>
  <c r="A168" i="8"/>
  <c r="A169" i="8"/>
  <c r="A170" i="8"/>
  <c r="A171" i="8"/>
  <c r="A172" i="8"/>
  <c r="A173" i="8"/>
  <c r="A174" i="8"/>
  <c r="A175" i="8"/>
  <c r="A176" i="8"/>
  <c r="A177" i="8"/>
  <c r="A161" i="8"/>
  <c r="A162" i="8"/>
  <c r="A163" i="8"/>
  <c r="A164" i="8"/>
  <c r="A165" i="8"/>
  <c r="A166" i="8"/>
  <c r="A152" i="8"/>
  <c r="A153" i="8"/>
  <c r="A154" i="8"/>
  <c r="A155" i="8"/>
  <c r="A156" i="8"/>
  <c r="A157" i="8"/>
  <c r="A158" i="8"/>
  <c r="A159" i="8"/>
  <c r="A160" i="8"/>
  <c r="A146" i="8"/>
  <c r="A147" i="8"/>
  <c r="A148" i="8"/>
  <c r="A149" i="8"/>
  <c r="A150" i="8"/>
  <c r="A151" i="8"/>
  <c r="A137" i="8"/>
  <c r="A138" i="8"/>
  <c r="A139" i="8"/>
  <c r="A140" i="8"/>
  <c r="A141" i="8"/>
  <c r="A142" i="8"/>
  <c r="A143" i="8"/>
  <c r="A144" i="8"/>
  <c r="A145" i="8"/>
  <c r="A126" i="8"/>
  <c r="A127" i="8"/>
  <c r="A128" i="8"/>
  <c r="A129" i="8"/>
  <c r="D129" i="8"/>
  <c r="A130" i="8"/>
  <c r="A131" i="8"/>
  <c r="A132" i="8"/>
  <c r="A133" i="8"/>
  <c r="A134" i="8"/>
  <c r="A135" i="8"/>
  <c r="A136"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C349" i="8"/>
  <c r="C350" i="8"/>
  <c r="C351" i="8"/>
  <c r="C352" i="8"/>
  <c r="C353" i="8"/>
  <c r="C348" i="8"/>
  <c r="C343" i="8"/>
  <c r="C344" i="8"/>
  <c r="C345" i="8"/>
  <c r="C346" i="8"/>
  <c r="C347" i="8"/>
  <c r="C342" i="8"/>
  <c r="C337" i="8"/>
  <c r="C338" i="8"/>
  <c r="C339" i="8"/>
  <c r="C340" i="8"/>
  <c r="C341" i="8"/>
  <c r="C336" i="8"/>
  <c r="C331" i="8"/>
  <c r="C332" i="8"/>
  <c r="C333" i="8"/>
  <c r="C334" i="8"/>
  <c r="C335" i="8"/>
  <c r="C330" i="8"/>
  <c r="C325" i="8"/>
  <c r="C326" i="8"/>
  <c r="C327" i="8"/>
  <c r="C328" i="8"/>
  <c r="C329" i="8"/>
  <c r="C324" i="8"/>
  <c r="C319" i="8"/>
  <c r="C320" i="8"/>
  <c r="C321" i="8"/>
  <c r="C322" i="8"/>
  <c r="C323" i="8"/>
  <c r="C318" i="8"/>
  <c r="C313" i="8"/>
  <c r="C314" i="8"/>
  <c r="C315" i="8"/>
  <c r="C316" i="8"/>
  <c r="C317" i="8"/>
  <c r="C312" i="8"/>
  <c r="C308" i="8"/>
  <c r="C309" i="8"/>
  <c r="C310" i="8"/>
  <c r="C311" i="8"/>
  <c r="C306" i="8"/>
  <c r="C301" i="8"/>
  <c r="C302" i="8"/>
  <c r="C303" i="8"/>
  <c r="C304" i="8"/>
  <c r="C305" i="8"/>
  <c r="C300" i="8"/>
  <c r="C296" i="8"/>
  <c r="C297" i="8"/>
  <c r="C298" i="8"/>
  <c r="C299" i="8"/>
  <c r="C294" i="8"/>
  <c r="C289" i="8"/>
  <c r="C290" i="8"/>
  <c r="C291" i="8"/>
  <c r="C292" i="8"/>
  <c r="C293" i="8"/>
  <c r="C288" i="8"/>
  <c r="C283" i="8"/>
  <c r="C284" i="8"/>
  <c r="C285" i="8"/>
  <c r="C286" i="8"/>
  <c r="C287" i="8"/>
  <c r="C282" i="8"/>
  <c r="C277" i="8"/>
  <c r="C278" i="8"/>
  <c r="C279" i="8"/>
  <c r="C280" i="8"/>
  <c r="C281" i="8"/>
  <c r="C276" i="8"/>
  <c r="C271" i="8"/>
  <c r="C272" i="8"/>
  <c r="C273" i="8"/>
  <c r="C274" i="8"/>
  <c r="C275" i="8"/>
  <c r="C270" i="8"/>
  <c r="C265" i="8"/>
  <c r="C266" i="8"/>
  <c r="C267" i="8"/>
  <c r="C268" i="8"/>
  <c r="C269" i="8"/>
  <c r="C259" i="8"/>
  <c r="C260" i="8"/>
  <c r="C261" i="8"/>
  <c r="C262" i="8"/>
  <c r="C263" i="8"/>
  <c r="C258" i="8"/>
  <c r="C253" i="8"/>
  <c r="C254" i="8"/>
  <c r="C255" i="8"/>
  <c r="C256" i="8"/>
  <c r="C257" i="8"/>
  <c r="C247" i="8"/>
  <c r="C248" i="8"/>
  <c r="C249" i="8"/>
  <c r="C250" i="8"/>
  <c r="C251" i="8"/>
  <c r="C246" i="8"/>
  <c r="C242" i="8"/>
  <c r="C243" i="8"/>
  <c r="C244" i="8"/>
  <c r="C245" i="8"/>
  <c r="C236" i="8"/>
  <c r="C237" i="8"/>
  <c r="C239" i="8"/>
  <c r="C234" i="8"/>
  <c r="C229" i="8"/>
  <c r="C230" i="8"/>
  <c r="C231" i="8"/>
  <c r="C232" i="8"/>
  <c r="C233" i="8"/>
  <c r="C223" i="8"/>
  <c r="C224" i="8"/>
  <c r="C225" i="8"/>
  <c r="C226" i="8"/>
  <c r="C227" i="8"/>
  <c r="C217" i="8"/>
  <c r="C218" i="8"/>
  <c r="C219" i="8"/>
  <c r="C220" i="8"/>
  <c r="C221" i="8"/>
  <c r="C211" i="8"/>
  <c r="C212" i="8"/>
  <c r="C213" i="8"/>
  <c r="C214" i="8"/>
  <c r="C215" i="8"/>
  <c r="C210" i="8"/>
  <c r="C205" i="8"/>
  <c r="C206" i="8"/>
  <c r="C207" i="8"/>
  <c r="C208" i="8"/>
  <c r="C209" i="8"/>
  <c r="C200" i="8"/>
  <c r="C201" i="8"/>
  <c r="C202" i="8"/>
  <c r="C203" i="8"/>
  <c r="C198" i="8"/>
  <c r="C193" i="8"/>
  <c r="C194" i="8"/>
  <c r="C195" i="8"/>
  <c r="C196" i="8"/>
  <c r="C197" i="8"/>
  <c r="C187" i="8"/>
  <c r="C188" i="8"/>
  <c r="C189" i="8"/>
  <c r="C190" i="8"/>
  <c r="C191" i="8"/>
  <c r="C186" i="8"/>
  <c r="C180" i="8"/>
  <c r="C181" i="8"/>
  <c r="C183" i="8"/>
  <c r="C184" i="8"/>
  <c r="C185" i="8"/>
  <c r="C175" i="8"/>
  <c r="C176" i="8"/>
  <c r="C177" i="8"/>
  <c r="C178" i="8"/>
  <c r="C179" i="8"/>
  <c r="C174" i="8"/>
  <c r="C170" i="8"/>
  <c r="C171" i="8"/>
  <c r="C172" i="8"/>
  <c r="C173" i="8"/>
  <c r="C164" i="8"/>
  <c r="C165" i="8"/>
  <c r="C166" i="8"/>
  <c r="C167" i="8"/>
  <c r="C162" i="8"/>
  <c r="C156" i="8"/>
  <c r="C157" i="8"/>
  <c r="C158" i="8"/>
  <c r="C159" i="8"/>
  <c r="C160" i="8"/>
  <c r="C161" i="8"/>
  <c r="C151" i="8"/>
  <c r="C152" i="8"/>
  <c r="C153" i="8"/>
  <c r="C154" i="8"/>
  <c r="C155" i="8"/>
  <c r="C150" i="8"/>
  <c r="C145" i="8"/>
  <c r="C146" i="8"/>
  <c r="C147" i="8"/>
  <c r="C148" i="8"/>
  <c r="C149" i="8"/>
  <c r="C140" i="8"/>
  <c r="C141" i="8"/>
  <c r="C142" i="8"/>
  <c r="C143" i="8"/>
  <c r="C138" i="8"/>
  <c r="C133" i="8"/>
  <c r="C134" i="8"/>
  <c r="C135" i="8"/>
  <c r="C136" i="8"/>
  <c r="C137" i="8"/>
  <c r="C132" i="8"/>
  <c r="C127" i="8"/>
  <c r="C128" i="8"/>
  <c r="C129" i="8"/>
  <c r="C130" i="8"/>
  <c r="C131" i="8"/>
  <c r="D127" i="8"/>
  <c r="D128" i="8"/>
  <c r="D130" i="8"/>
  <c r="D131" i="8"/>
  <c r="D133" i="8"/>
  <c r="D134" i="8"/>
  <c r="D135" i="8"/>
  <c r="D136" i="8"/>
  <c r="D137" i="8"/>
  <c r="D140" i="8"/>
  <c r="D141" i="8"/>
  <c r="D142" i="8"/>
  <c r="D143" i="8"/>
  <c r="D145" i="8"/>
  <c r="D146" i="8"/>
  <c r="D147" i="8"/>
  <c r="D148" i="8"/>
  <c r="D149" i="8"/>
  <c r="D151" i="8"/>
  <c r="D152" i="8"/>
  <c r="D153" i="8"/>
  <c r="D154" i="8"/>
  <c r="D155" i="8"/>
  <c r="D157" i="8"/>
  <c r="D158" i="8"/>
  <c r="D159" i="8"/>
  <c r="D160" i="8"/>
  <c r="D161" i="8"/>
  <c r="D164" i="8"/>
  <c r="D165" i="8"/>
  <c r="D166" i="8"/>
  <c r="D167" i="8"/>
  <c r="D170" i="8"/>
  <c r="D171" i="8"/>
  <c r="D172" i="8"/>
  <c r="D173" i="8"/>
  <c r="D175" i="8"/>
  <c r="D176" i="8"/>
  <c r="D177" i="8"/>
  <c r="D178" i="8"/>
  <c r="D179" i="8"/>
  <c r="D185" i="8"/>
  <c r="D187" i="8"/>
  <c r="D188" i="8"/>
  <c r="D189" i="8"/>
  <c r="D190" i="8"/>
  <c r="D191" i="8"/>
  <c r="D194" i="8"/>
  <c r="D195" i="8"/>
  <c r="D196" i="8"/>
  <c r="D197" i="8"/>
  <c r="D202" i="8"/>
  <c r="D203" i="8"/>
  <c r="D205" i="8"/>
  <c r="D206" i="8"/>
  <c r="D207" i="8"/>
  <c r="D208" i="8"/>
  <c r="D209" i="8"/>
  <c r="D211" i="8"/>
  <c r="D212" i="8"/>
  <c r="D213" i="8"/>
  <c r="D214" i="8"/>
  <c r="D215" i="8"/>
  <c r="D218" i="8"/>
  <c r="D219" i="8"/>
  <c r="D220" i="8"/>
  <c r="D221" i="8"/>
  <c r="D224" i="8"/>
  <c r="D225" i="8"/>
  <c r="D226" i="8"/>
  <c r="D227" i="8"/>
  <c r="D229" i="8"/>
  <c r="D230" i="8"/>
  <c r="D231" i="8"/>
  <c r="D232" i="8"/>
  <c r="D233" i="8"/>
  <c r="D236" i="8"/>
  <c r="D237" i="8"/>
  <c r="D238" i="8"/>
  <c r="D239" i="8"/>
  <c r="D242" i="8"/>
  <c r="D243" i="8"/>
  <c r="D244" i="8"/>
  <c r="D245" i="8"/>
  <c r="D247" i="8"/>
  <c r="D248" i="8"/>
  <c r="D249" i="8"/>
  <c r="D250" i="8"/>
  <c r="D251" i="8"/>
  <c r="D254" i="8"/>
  <c r="D255" i="8"/>
  <c r="D256" i="8"/>
  <c r="D257" i="8"/>
  <c r="D260" i="8"/>
  <c r="D261" i="8"/>
  <c r="D262" i="8"/>
  <c r="D263" i="8"/>
  <c r="D266" i="8"/>
  <c r="D267" i="8"/>
  <c r="D268" i="8"/>
  <c r="D269" i="8"/>
  <c r="D272" i="8"/>
  <c r="D273" i="8"/>
  <c r="D274" i="8"/>
  <c r="D275" i="8"/>
  <c r="D277" i="8"/>
  <c r="D278" i="8"/>
  <c r="D279" i="8"/>
  <c r="D280" i="8"/>
  <c r="D281" i="8"/>
  <c r="D284" i="8"/>
  <c r="D285" i="8"/>
  <c r="D286" i="8"/>
  <c r="D287" i="8"/>
  <c r="D289" i="8"/>
  <c r="D290" i="8"/>
  <c r="D291" i="8"/>
  <c r="D292" i="8"/>
  <c r="D293" i="8"/>
  <c r="D297" i="8"/>
  <c r="D298" i="8"/>
  <c r="D299" i="8"/>
  <c r="D303" i="8"/>
  <c r="D304" i="8"/>
  <c r="D305" i="8"/>
  <c r="D308" i="8"/>
  <c r="D309" i="8"/>
  <c r="D310" i="8"/>
  <c r="D311" i="8"/>
  <c r="D314" i="8"/>
  <c r="D315" i="8"/>
  <c r="D316" i="8"/>
  <c r="D317" i="8"/>
  <c r="D319" i="8"/>
  <c r="D320" i="8"/>
  <c r="D321" i="8"/>
  <c r="D322" i="8"/>
  <c r="D323" i="8"/>
  <c r="D326" i="8"/>
  <c r="D327" i="8"/>
  <c r="D328" i="8"/>
  <c r="D329" i="8"/>
  <c r="D331" i="8"/>
  <c r="D332" i="8"/>
  <c r="D333" i="8"/>
  <c r="D334" i="8"/>
  <c r="D335" i="8"/>
  <c r="D337" i="8"/>
  <c r="D338" i="8"/>
  <c r="D339" i="8"/>
  <c r="D340" i="8"/>
  <c r="D341" i="8"/>
  <c r="D343" i="8"/>
  <c r="D344" i="8"/>
  <c r="D345" i="8"/>
  <c r="D346" i="8"/>
  <c r="D347" i="8"/>
  <c r="D349" i="8"/>
  <c r="D350" i="8"/>
  <c r="D351" i="8"/>
  <c r="D352" i="8"/>
  <c r="D353" i="8"/>
  <c r="B11" i="10" l="1"/>
  <c r="R11" i="10" s="1"/>
  <c r="C21" i="9"/>
  <c r="C27" i="9"/>
  <c r="C51" i="9"/>
  <c r="C14" i="9"/>
  <c r="E20" i="9"/>
  <c r="C62" i="9"/>
  <c r="E15" i="9"/>
  <c r="C48" i="9"/>
  <c r="C25" i="9"/>
  <c r="E25" i="9"/>
  <c r="C60" i="9"/>
  <c r="E32" i="9"/>
  <c r="C32" i="9"/>
  <c r="C37" i="9"/>
  <c r="E37" i="9"/>
  <c r="C9" i="9"/>
  <c r="C38" i="9"/>
  <c r="C43" i="9"/>
  <c r="E43" i="9"/>
  <c r="E33" i="9"/>
  <c r="C33" i="9"/>
  <c r="E56" i="9"/>
  <c r="C56" i="9"/>
  <c r="C22" i="9"/>
  <c r="E22" i="9"/>
  <c r="E8" i="9"/>
  <c r="C8" i="9"/>
  <c r="E57" i="9"/>
  <c r="C57" i="9"/>
  <c r="C12" i="9"/>
  <c r="C49" i="9"/>
  <c r="E49" i="9"/>
  <c r="C54" i="9"/>
  <c r="E54" i="9"/>
  <c r="C24" i="9"/>
  <c r="E46" i="9"/>
  <c r="C46" i="9"/>
  <c r="C36" i="9"/>
  <c r="C61" i="9"/>
  <c r="E61" i="9"/>
  <c r="C19" i="9"/>
  <c r="E19" i="9"/>
  <c r="D295" i="8"/>
  <c r="D138" i="8"/>
  <c r="D199" i="8"/>
  <c r="D301" i="8"/>
  <c r="D302" i="8"/>
  <c r="D184" i="8"/>
  <c r="D182" i="8"/>
  <c r="D200" i="8"/>
  <c r="D282" i="8"/>
  <c r="D234" i="8"/>
  <c r="D186" i="8"/>
  <c r="C126" i="8"/>
  <c r="C241" i="8"/>
  <c r="D330" i="8"/>
  <c r="D342" i="8"/>
  <c r="D259" i="8"/>
  <c r="D246" i="8"/>
  <c r="D162" i="8"/>
  <c r="D150" i="8"/>
  <c r="D258" i="8"/>
  <c r="D217" i="8"/>
  <c r="D270" i="8"/>
  <c r="D174" i="8"/>
  <c r="C169" i="8"/>
  <c r="D198" i="8"/>
  <c r="C182" i="8"/>
  <c r="D294" i="8"/>
  <c r="D253" i="8"/>
  <c r="D156" i="8"/>
  <c r="D210" i="8"/>
  <c r="D181" i="8"/>
  <c r="D306" i="8"/>
  <c r="D180" i="8"/>
  <c r="D283" i="8"/>
  <c r="C228" i="8"/>
  <c r="D228" i="8"/>
  <c r="C199" i="8"/>
  <c r="D222" i="8"/>
  <c r="C222" i="8"/>
  <c r="C307" i="8"/>
  <c r="C295" i="8"/>
  <c r="C144" i="8"/>
  <c r="D144" i="8"/>
  <c r="C192" i="8"/>
  <c r="D192" i="8"/>
  <c r="C240" i="8"/>
  <c r="D240" i="8"/>
  <c r="C252" i="8"/>
  <c r="D252" i="8"/>
  <c r="D139" i="8"/>
  <c r="C139" i="8"/>
  <c r="D163" i="8"/>
  <c r="C163" i="8"/>
  <c r="D348" i="8"/>
  <c r="D336" i="8"/>
  <c r="D324" i="8"/>
  <c r="D312" i="8"/>
  <c r="D300" i="8"/>
  <c r="D288" i="8"/>
  <c r="D276" i="8"/>
  <c r="D271" i="8"/>
  <c r="C168" i="8"/>
  <c r="D168" i="8"/>
  <c r="C204" i="8"/>
  <c r="D204" i="8"/>
  <c r="C264" i="8"/>
  <c r="D264" i="8"/>
  <c r="C235" i="8"/>
  <c r="C216" i="8"/>
  <c r="D216" i="8"/>
  <c r="J11" i="10" l="1"/>
  <c r="X11" i="10"/>
  <c r="H11" i="10"/>
  <c r="F11" i="10"/>
  <c r="G11" i="10"/>
  <c r="S11" i="10"/>
  <c r="D11" i="10"/>
  <c r="L11" i="10"/>
  <c r="E11" i="10"/>
  <c r="T11" i="10"/>
  <c r="B12" i="10"/>
  <c r="K12" i="10" s="1"/>
  <c r="V11" i="10"/>
  <c r="W11" i="10"/>
  <c r="I11" i="10"/>
  <c r="U11" i="10"/>
  <c r="K11" i="10"/>
  <c r="C11" i="10"/>
  <c r="C13" i="9"/>
  <c r="W6" i="10"/>
  <c r="E13" i="9"/>
  <c r="V6" i="10"/>
  <c r="D183" i="8"/>
  <c r="B13" i="10" l="1"/>
  <c r="V13" i="10" s="1"/>
  <c r="L12" i="10"/>
  <c r="E12" i="10"/>
  <c r="F12" i="10"/>
  <c r="H12" i="10"/>
  <c r="R12" i="10"/>
  <c r="G12" i="10"/>
  <c r="X12" i="10"/>
  <c r="I12" i="10"/>
  <c r="W12" i="10"/>
  <c r="T12" i="10"/>
  <c r="V12" i="10"/>
  <c r="C12" i="10"/>
  <c r="S12" i="10"/>
  <c r="U12" i="10"/>
  <c r="J12" i="10"/>
  <c r="D12" i="10"/>
  <c r="J13" i="10" l="1"/>
  <c r="U13" i="10"/>
  <c r="H13" i="10"/>
  <c r="D13" i="10"/>
  <c r="C13" i="10"/>
  <c r="S13" i="10"/>
  <c r="W13" i="10"/>
  <c r="X13" i="10"/>
  <c r="B14" i="10"/>
  <c r="W14" i="10" s="1"/>
  <c r="K13" i="10"/>
  <c r="E13" i="10"/>
  <c r="G13" i="10"/>
  <c r="I13" i="10"/>
  <c r="F13" i="10"/>
  <c r="L13" i="10"/>
  <c r="R13" i="10"/>
  <c r="T13" i="10"/>
  <c r="X14" i="10" l="1"/>
  <c r="H14" i="10"/>
  <c r="S14" i="10"/>
  <c r="G14" i="10"/>
  <c r="J14" i="10"/>
  <c r="R14" i="10"/>
  <c r="T14" i="10"/>
  <c r="I14" i="10"/>
  <c r="D14" i="10"/>
  <c r="C14" i="10"/>
  <c r="B15" i="10"/>
  <c r="L15" i="10" s="1"/>
  <c r="L14" i="10"/>
  <c r="V14" i="10"/>
  <c r="E14" i="10"/>
  <c r="K14" i="10"/>
  <c r="U14" i="10"/>
  <c r="F14" i="10"/>
  <c r="J15" i="10" l="1"/>
  <c r="C15" i="10"/>
  <c r="K15" i="10"/>
  <c r="S15" i="10"/>
  <c r="T15" i="10"/>
  <c r="W15" i="10"/>
  <c r="I15" i="10"/>
  <c r="H15" i="10"/>
  <c r="V15" i="10"/>
  <c r="E15" i="10"/>
  <c r="B16" i="10"/>
  <c r="S16" i="10" s="1"/>
  <c r="D15" i="10"/>
  <c r="X15" i="10"/>
  <c r="F15" i="10"/>
  <c r="R15" i="10"/>
  <c r="G15" i="10"/>
  <c r="U15" i="10"/>
  <c r="U16" i="10" l="1"/>
  <c r="V16" i="10"/>
  <c r="D16" i="10"/>
  <c r="F16" i="10"/>
  <c r="G16" i="10"/>
  <c r="W16" i="10"/>
  <c r="L16" i="10"/>
  <c r="E16" i="10"/>
  <c r="H16" i="10"/>
  <c r="C16" i="10"/>
  <c r="K16" i="10"/>
  <c r="J16" i="10"/>
  <c r="X16" i="10"/>
  <c r="R16" i="10"/>
  <c r="I16" i="10"/>
  <c r="T16" i="10"/>
  <c r="Y11" i="10"/>
  <c r="Z11" i="10"/>
  <c r="Y12" i="10" l="1"/>
  <c r="Z12" i="10"/>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6" i="8"/>
  <c r="B114" i="8"/>
  <c r="B115" i="8"/>
  <c r="B116" i="8"/>
  <c r="B117" i="8"/>
  <c r="B118" i="8"/>
  <c r="B119" i="8"/>
  <c r="B120" i="8"/>
  <c r="B121" i="8"/>
  <c r="B122" i="8"/>
  <c r="B123" i="8"/>
  <c r="B124" i="8"/>
  <c r="B125" i="8"/>
  <c r="M15" i="2"/>
  <c r="M17" i="2"/>
  <c r="M14" i="2"/>
  <c r="M16" i="2"/>
  <c r="M18" i="2"/>
  <c r="M13" i="2"/>
  <c r="D15" i="8"/>
  <c r="D16" i="8"/>
  <c r="D17" i="8"/>
  <c r="D21" i="8"/>
  <c r="D22" i="8"/>
  <c r="D23" i="8"/>
  <c r="D28" i="8"/>
  <c r="D29" i="8"/>
  <c r="D33" i="8"/>
  <c r="D34" i="8"/>
  <c r="D35" i="8"/>
  <c r="D39" i="8"/>
  <c r="D40" i="8"/>
  <c r="D41" i="8"/>
  <c r="D44" i="8"/>
  <c r="D45" i="8"/>
  <c r="D46" i="8"/>
  <c r="D47" i="8"/>
  <c r="D53" i="8"/>
  <c r="D58" i="8"/>
  <c r="D59" i="8"/>
  <c r="D63" i="8"/>
  <c r="D64" i="8"/>
  <c r="D65" i="8"/>
  <c r="D71" i="8"/>
  <c r="D77" i="8"/>
  <c r="D81" i="8"/>
  <c r="D82" i="8"/>
  <c r="D83" i="8"/>
  <c r="D87" i="8"/>
  <c r="D88" i="8"/>
  <c r="D89" i="8"/>
  <c r="D93" i="8"/>
  <c r="D94" i="8"/>
  <c r="D95" i="8"/>
  <c r="D98" i="8"/>
  <c r="D99" i="8"/>
  <c r="D100" i="8"/>
  <c r="D101" i="8"/>
  <c r="D105" i="8"/>
  <c r="D106" i="8"/>
  <c r="D107" i="8"/>
  <c r="D110" i="8"/>
  <c r="D111" i="8"/>
  <c r="D112" i="8"/>
  <c r="D113" i="8"/>
  <c r="D116" i="8"/>
  <c r="D117" i="8"/>
  <c r="D118" i="8"/>
  <c r="D119" i="8"/>
  <c r="D124" i="8"/>
  <c r="D125" i="8"/>
  <c r="D10" i="8"/>
  <c r="D11" i="8"/>
  <c r="S7" i="4" l="1"/>
  <c r="V7" i="4" s="1"/>
  <c r="S11" i="4"/>
  <c r="S15" i="4"/>
  <c r="S19" i="4"/>
  <c r="S23" i="4"/>
  <c r="S27" i="4"/>
  <c r="S31" i="4"/>
  <c r="S35" i="4"/>
  <c r="S39" i="4"/>
  <c r="S43" i="4"/>
  <c r="S47" i="4"/>
  <c r="S51" i="4"/>
  <c r="S55" i="4"/>
  <c r="S59" i="4"/>
  <c r="S63" i="4"/>
  <c r="S67" i="4"/>
  <c r="S71" i="4"/>
  <c r="S75" i="4"/>
  <c r="S79" i="4"/>
  <c r="S83" i="4"/>
  <c r="S87" i="4"/>
  <c r="S91" i="4"/>
  <c r="S95" i="4"/>
  <c r="S99" i="4"/>
  <c r="S103" i="4"/>
  <c r="S107" i="4"/>
  <c r="S111" i="4"/>
  <c r="S115" i="4"/>
  <c r="S119" i="4"/>
  <c r="S123" i="4"/>
  <c r="S127" i="4"/>
  <c r="S131" i="4"/>
  <c r="S135" i="4"/>
  <c r="S139" i="4"/>
  <c r="S143" i="4"/>
  <c r="S147" i="4"/>
  <c r="S151" i="4"/>
  <c r="S155" i="4"/>
  <c r="S159" i="4"/>
  <c r="S163" i="4"/>
  <c r="S167" i="4"/>
  <c r="S171" i="4"/>
  <c r="S175" i="4"/>
  <c r="S179" i="4"/>
  <c r="S183" i="4"/>
  <c r="S187" i="4"/>
  <c r="S191" i="4"/>
  <c r="S195" i="4"/>
  <c r="S199" i="4"/>
  <c r="S203" i="4"/>
  <c r="S207" i="4"/>
  <c r="S211" i="4"/>
  <c r="S215" i="4"/>
  <c r="S219" i="4"/>
  <c r="S223" i="4"/>
  <c r="S227" i="4"/>
  <c r="S231" i="4"/>
  <c r="S235" i="4"/>
  <c r="S239" i="4"/>
  <c r="S243" i="4"/>
  <c r="S247" i="4"/>
  <c r="S251" i="4"/>
  <c r="S255" i="4"/>
  <c r="S259" i="4"/>
  <c r="S263" i="4"/>
  <c r="S267" i="4"/>
  <c r="S271" i="4"/>
  <c r="S275" i="4"/>
  <c r="S279" i="4"/>
  <c r="S283" i="4"/>
  <c r="S287" i="4"/>
  <c r="S291" i="4"/>
  <c r="S295" i="4"/>
  <c r="S299" i="4"/>
  <c r="S303" i="4"/>
  <c r="S307" i="4"/>
  <c r="S311" i="4"/>
  <c r="S315" i="4"/>
  <c r="S319" i="4"/>
  <c r="S323" i="4"/>
  <c r="S327" i="4"/>
  <c r="S331" i="4"/>
  <c r="S335" i="4"/>
  <c r="S339" i="4"/>
  <c r="S343" i="4"/>
  <c r="S8" i="4"/>
  <c r="V8" i="4" s="1"/>
  <c r="S12" i="4"/>
  <c r="S16" i="4"/>
  <c r="S20" i="4"/>
  <c r="S24" i="4"/>
  <c r="S28" i="4"/>
  <c r="S32" i="4"/>
  <c r="S36" i="4"/>
  <c r="S40" i="4"/>
  <c r="S44" i="4"/>
  <c r="S48" i="4"/>
  <c r="S52" i="4"/>
  <c r="S56" i="4"/>
  <c r="S60" i="4"/>
  <c r="S64" i="4"/>
  <c r="S68" i="4"/>
  <c r="S72" i="4"/>
  <c r="S76" i="4"/>
  <c r="S80" i="4"/>
  <c r="S84" i="4"/>
  <c r="S88" i="4"/>
  <c r="S92" i="4"/>
  <c r="S96" i="4"/>
  <c r="S100" i="4"/>
  <c r="S104" i="4"/>
  <c r="S108" i="4"/>
  <c r="S112" i="4"/>
  <c r="S116" i="4"/>
  <c r="S120" i="4"/>
  <c r="S124" i="4"/>
  <c r="S128" i="4"/>
  <c r="S132" i="4"/>
  <c r="S136" i="4"/>
  <c r="S140" i="4"/>
  <c r="S144" i="4"/>
  <c r="S148" i="4"/>
  <c r="S152" i="4"/>
  <c r="S156" i="4"/>
  <c r="S160" i="4"/>
  <c r="S164" i="4"/>
  <c r="S168" i="4"/>
  <c r="S172" i="4"/>
  <c r="S176" i="4"/>
  <c r="S180" i="4"/>
  <c r="S184" i="4"/>
  <c r="S188" i="4"/>
  <c r="S192" i="4"/>
  <c r="S196" i="4"/>
  <c r="S200" i="4"/>
  <c r="S204" i="4"/>
  <c r="S208" i="4"/>
  <c r="S212" i="4"/>
  <c r="S216" i="4"/>
  <c r="S220" i="4"/>
  <c r="S224" i="4"/>
  <c r="S228" i="4"/>
  <c r="S232" i="4"/>
  <c r="S236" i="4"/>
  <c r="S240" i="4"/>
  <c r="S244" i="4"/>
  <c r="S248" i="4"/>
  <c r="S252" i="4"/>
  <c r="S256" i="4"/>
  <c r="S260" i="4"/>
  <c r="S264" i="4"/>
  <c r="S268" i="4"/>
  <c r="S272" i="4"/>
  <c r="S276" i="4"/>
  <c r="S280" i="4"/>
  <c r="S284" i="4"/>
  <c r="S288" i="4"/>
  <c r="S292" i="4"/>
  <c r="S296" i="4"/>
  <c r="S300" i="4"/>
  <c r="S304" i="4"/>
  <c r="S308" i="4"/>
  <c r="S312" i="4"/>
  <c r="S316" i="4"/>
  <c r="S320" i="4"/>
  <c r="S9" i="4"/>
  <c r="S17" i="4"/>
  <c r="S25" i="4"/>
  <c r="S33" i="4"/>
  <c r="S41" i="4"/>
  <c r="S49" i="4"/>
  <c r="S57" i="4"/>
  <c r="S65" i="4"/>
  <c r="S73" i="4"/>
  <c r="S81" i="4"/>
  <c r="S89" i="4"/>
  <c r="S97" i="4"/>
  <c r="S105" i="4"/>
  <c r="S113" i="4"/>
  <c r="S121" i="4"/>
  <c r="S129" i="4"/>
  <c r="S137" i="4"/>
  <c r="S145" i="4"/>
  <c r="S153" i="4"/>
  <c r="S161" i="4"/>
  <c r="S169" i="4"/>
  <c r="S177" i="4"/>
  <c r="S185" i="4"/>
  <c r="S193" i="4"/>
  <c r="S201" i="4"/>
  <c r="S209" i="4"/>
  <c r="S217" i="4"/>
  <c r="S225" i="4"/>
  <c r="S233" i="4"/>
  <c r="S241" i="4"/>
  <c r="S249" i="4"/>
  <c r="S257" i="4"/>
  <c r="S265" i="4"/>
  <c r="S273" i="4"/>
  <c r="S281" i="4"/>
  <c r="S289" i="4"/>
  <c r="S297" i="4"/>
  <c r="S305" i="4"/>
  <c r="S313" i="4"/>
  <c r="S321" i="4"/>
  <c r="S326" i="4"/>
  <c r="S332" i="4"/>
  <c r="S337" i="4"/>
  <c r="S342" i="4"/>
  <c r="S347" i="4"/>
  <c r="S351" i="4"/>
  <c r="S13" i="4"/>
  <c r="S21" i="4"/>
  <c r="S29" i="4"/>
  <c r="S37" i="4"/>
  <c r="S45" i="4"/>
  <c r="S53" i="4"/>
  <c r="S61" i="4"/>
  <c r="S69" i="4"/>
  <c r="S77" i="4"/>
  <c r="S85" i="4"/>
  <c r="S93" i="4"/>
  <c r="S101" i="4"/>
  <c r="S109" i="4"/>
  <c r="S117" i="4"/>
  <c r="S125" i="4"/>
  <c r="S133" i="4"/>
  <c r="S141" i="4"/>
  <c r="S149" i="4"/>
  <c r="S157" i="4"/>
  <c r="S165" i="4"/>
  <c r="S173" i="4"/>
  <c r="S181" i="4"/>
  <c r="S189" i="4"/>
  <c r="S197" i="4"/>
  <c r="S205" i="4"/>
  <c r="S213" i="4"/>
  <c r="S221" i="4"/>
  <c r="S229" i="4"/>
  <c r="S237" i="4"/>
  <c r="S245" i="4"/>
  <c r="S253" i="4"/>
  <c r="S261" i="4"/>
  <c r="S269" i="4"/>
  <c r="S277" i="4"/>
  <c r="S285" i="4"/>
  <c r="S293" i="4"/>
  <c r="S301" i="4"/>
  <c r="S309" i="4"/>
  <c r="S317" i="4"/>
  <c r="S324" i="4"/>
  <c r="S329" i="4"/>
  <c r="S334" i="4"/>
  <c r="S340" i="4"/>
  <c r="S345" i="4"/>
  <c r="S349" i="4"/>
  <c r="S353" i="4"/>
  <c r="S6" i="4"/>
  <c r="U6" i="4" s="1"/>
  <c r="S22" i="4"/>
  <c r="S30" i="4"/>
  <c r="S38" i="4"/>
  <c r="S46" i="4"/>
  <c r="S54" i="4"/>
  <c r="S70" i="4"/>
  <c r="S78" i="4"/>
  <c r="S94" i="4"/>
  <c r="S110" i="4"/>
  <c r="S126" i="4"/>
  <c r="S142" i="4"/>
  <c r="S158" i="4"/>
  <c r="S174" i="4"/>
  <c r="S190" i="4"/>
  <c r="S206" i="4"/>
  <c r="S222" i="4"/>
  <c r="S238" i="4"/>
  <c r="S254" i="4"/>
  <c r="S270" i="4"/>
  <c r="S286" i="4"/>
  <c r="S302" i="4"/>
  <c r="S318" i="4"/>
  <c r="S330" i="4"/>
  <c r="S341" i="4"/>
  <c r="S350" i="4"/>
  <c r="S10" i="4"/>
  <c r="S18" i="4"/>
  <c r="S26" i="4"/>
  <c r="S34" i="4"/>
  <c r="S42" i="4"/>
  <c r="S50" i="4"/>
  <c r="S58" i="4"/>
  <c r="S66" i="4"/>
  <c r="S74" i="4"/>
  <c r="S82" i="4"/>
  <c r="S90" i="4"/>
  <c r="S98" i="4"/>
  <c r="S106" i="4"/>
  <c r="S114" i="4"/>
  <c r="S122" i="4"/>
  <c r="S130" i="4"/>
  <c r="S138" i="4"/>
  <c r="S146" i="4"/>
  <c r="S154" i="4"/>
  <c r="S162" i="4"/>
  <c r="S170" i="4"/>
  <c r="S178" i="4"/>
  <c r="S186" i="4"/>
  <c r="S194" i="4"/>
  <c r="S202" i="4"/>
  <c r="S210" i="4"/>
  <c r="S218" i="4"/>
  <c r="S226" i="4"/>
  <c r="S234" i="4"/>
  <c r="S242" i="4"/>
  <c r="S250" i="4"/>
  <c r="S258" i="4"/>
  <c r="S266" i="4"/>
  <c r="S274" i="4"/>
  <c r="S282" i="4"/>
  <c r="S290" i="4"/>
  <c r="S298" i="4"/>
  <c r="S306" i="4"/>
  <c r="S314" i="4"/>
  <c r="S322" i="4"/>
  <c r="S328" i="4"/>
  <c r="S333" i="4"/>
  <c r="S338" i="4"/>
  <c r="S344" i="4"/>
  <c r="S348" i="4"/>
  <c r="S352" i="4"/>
  <c r="S14" i="4"/>
  <c r="S62" i="4"/>
  <c r="S86" i="4"/>
  <c r="S102" i="4"/>
  <c r="S118" i="4"/>
  <c r="S134" i="4"/>
  <c r="S150" i="4"/>
  <c r="S166" i="4"/>
  <c r="S182" i="4"/>
  <c r="S198" i="4"/>
  <c r="S214" i="4"/>
  <c r="S230" i="4"/>
  <c r="S246" i="4"/>
  <c r="S262" i="4"/>
  <c r="S278" i="4"/>
  <c r="S294" i="4"/>
  <c r="S310" i="4"/>
  <c r="S325" i="4"/>
  <c r="S336" i="4"/>
  <c r="S346" i="4"/>
  <c r="Z13" i="10"/>
  <c r="Y13" i="10"/>
  <c r="C125" i="8"/>
  <c r="C124" i="8"/>
  <c r="C120" i="8"/>
  <c r="C119" i="8"/>
  <c r="C118" i="8"/>
  <c r="C117" i="8"/>
  <c r="C116" i="8"/>
  <c r="C114" i="8"/>
  <c r="C113" i="8"/>
  <c r="B113" i="8"/>
  <c r="C112" i="8"/>
  <c r="B112" i="8"/>
  <c r="C111" i="8"/>
  <c r="B111" i="8"/>
  <c r="C110" i="8"/>
  <c r="B110" i="8"/>
  <c r="B109" i="8"/>
  <c r="C108" i="8"/>
  <c r="B108" i="8"/>
  <c r="C107" i="8"/>
  <c r="B107" i="8"/>
  <c r="C106" i="8"/>
  <c r="B106" i="8"/>
  <c r="C105" i="8"/>
  <c r="B105" i="8"/>
  <c r="B104" i="8"/>
  <c r="B103" i="8"/>
  <c r="C102" i="8"/>
  <c r="B102" i="8"/>
  <c r="C101" i="8"/>
  <c r="B101" i="8"/>
  <c r="C100" i="8"/>
  <c r="B100" i="8"/>
  <c r="C99" i="8"/>
  <c r="B99" i="8"/>
  <c r="C98" i="8"/>
  <c r="B98" i="8"/>
  <c r="B97" i="8"/>
  <c r="C96" i="8"/>
  <c r="B96" i="8"/>
  <c r="C95" i="8"/>
  <c r="B95" i="8"/>
  <c r="C94" i="8"/>
  <c r="B94" i="8"/>
  <c r="C93" i="8"/>
  <c r="B93" i="8"/>
  <c r="B92" i="8"/>
  <c r="B91" i="8"/>
  <c r="C90" i="8"/>
  <c r="B90" i="8"/>
  <c r="C89" i="8"/>
  <c r="B89" i="8"/>
  <c r="C88" i="8"/>
  <c r="B88" i="8"/>
  <c r="C87" i="8"/>
  <c r="B87" i="8"/>
  <c r="B86" i="8"/>
  <c r="B85" i="8"/>
  <c r="C84" i="8"/>
  <c r="B84" i="8"/>
  <c r="C83" i="8"/>
  <c r="B83" i="8"/>
  <c r="C82" i="8"/>
  <c r="B82" i="8"/>
  <c r="C81" i="8"/>
  <c r="B81" i="8"/>
  <c r="B80" i="8"/>
  <c r="B79" i="8"/>
  <c r="C78" i="8"/>
  <c r="B78" i="8"/>
  <c r="C77" i="8"/>
  <c r="B77" i="8"/>
  <c r="B76" i="8"/>
  <c r="B75" i="8"/>
  <c r="B74" i="8"/>
  <c r="B73" i="8"/>
  <c r="C72" i="8"/>
  <c r="B72" i="8"/>
  <c r="C71" i="8"/>
  <c r="B71" i="8"/>
  <c r="B70" i="8"/>
  <c r="B69" i="8"/>
  <c r="B68" i="8"/>
  <c r="B67" i="8"/>
  <c r="C66" i="8"/>
  <c r="B66" i="8"/>
  <c r="C65" i="8"/>
  <c r="B65" i="8"/>
  <c r="C64" i="8"/>
  <c r="B64" i="8"/>
  <c r="C63" i="8"/>
  <c r="B63" i="8"/>
  <c r="B62" i="8"/>
  <c r="B61" i="8"/>
  <c r="C60" i="8"/>
  <c r="B60" i="8"/>
  <c r="C59" i="8"/>
  <c r="B59" i="8"/>
  <c r="C58" i="8"/>
  <c r="B58" i="8"/>
  <c r="B57" i="8"/>
  <c r="B56" i="8"/>
  <c r="B55" i="8"/>
  <c r="C54" i="8"/>
  <c r="B54" i="8"/>
  <c r="C53" i="8"/>
  <c r="B53" i="8"/>
  <c r="B52" i="8"/>
  <c r="B51" i="8"/>
  <c r="B50" i="8"/>
  <c r="B49" i="8"/>
  <c r="C48" i="8"/>
  <c r="B48" i="8"/>
  <c r="C47" i="8"/>
  <c r="B47" i="8"/>
  <c r="C46" i="8"/>
  <c r="B46" i="8"/>
  <c r="C45" i="8"/>
  <c r="B45" i="8"/>
  <c r="C44" i="8"/>
  <c r="B44" i="8"/>
  <c r="B43" i="8"/>
  <c r="C42" i="8"/>
  <c r="B42" i="8"/>
  <c r="C41" i="8"/>
  <c r="B41" i="8"/>
  <c r="C40" i="8"/>
  <c r="B40" i="8"/>
  <c r="C39" i="8"/>
  <c r="B39" i="8"/>
  <c r="B38" i="8"/>
  <c r="B37" i="8"/>
  <c r="C36" i="8"/>
  <c r="B36" i="8"/>
  <c r="C35" i="8"/>
  <c r="B35" i="8"/>
  <c r="C34" i="8"/>
  <c r="B34" i="8"/>
  <c r="C33" i="8"/>
  <c r="B33" i="8"/>
  <c r="B32" i="8"/>
  <c r="B31" i="8"/>
  <c r="C30" i="8"/>
  <c r="B30" i="8"/>
  <c r="C29" i="8"/>
  <c r="B29" i="8"/>
  <c r="C28" i="8"/>
  <c r="B28" i="8"/>
  <c r="B27" i="8"/>
  <c r="B26" i="8"/>
  <c r="B25" i="8"/>
  <c r="C24" i="8"/>
  <c r="B24" i="8"/>
  <c r="C23" i="8"/>
  <c r="B23" i="8"/>
  <c r="C22" i="8"/>
  <c r="B22" i="8"/>
  <c r="C21" i="8"/>
  <c r="B21" i="8"/>
  <c r="B20" i="8"/>
  <c r="B19" i="8"/>
  <c r="C18" i="8"/>
  <c r="B18" i="8"/>
  <c r="C17" i="8"/>
  <c r="B17" i="8"/>
  <c r="C16" i="8"/>
  <c r="B16" i="8"/>
  <c r="C15" i="8"/>
  <c r="B15" i="8"/>
  <c r="B14" i="8"/>
  <c r="B13" i="8"/>
  <c r="C12" i="8"/>
  <c r="B12" i="8"/>
  <c r="C11" i="8"/>
  <c r="B11" i="8"/>
  <c r="C10" i="8"/>
  <c r="B10" i="8"/>
  <c r="B9" i="8"/>
  <c r="C8" i="8"/>
  <c r="B8" i="8"/>
  <c r="B7" i="8"/>
  <c r="C6" i="8"/>
  <c r="B6" i="8"/>
  <c r="B45" i="2"/>
  <c r="B44" i="2"/>
  <c r="B43" i="2"/>
  <c r="J60" i="2"/>
  <c r="G56" i="2"/>
  <c r="H56" i="2"/>
  <c r="I56" i="2"/>
  <c r="J56" i="2"/>
  <c r="G57" i="2"/>
  <c r="H57" i="2"/>
  <c r="I57" i="2"/>
  <c r="J57" i="2"/>
  <c r="G58" i="2"/>
  <c r="H58" i="2"/>
  <c r="I58" i="2"/>
  <c r="J58" i="2"/>
  <c r="G59" i="2"/>
  <c r="H59" i="2"/>
  <c r="I59" i="2"/>
  <c r="J59" i="2"/>
  <c r="G60" i="2"/>
  <c r="H60" i="2"/>
  <c r="I60" i="2"/>
  <c r="F57" i="2"/>
  <c r="F58" i="2"/>
  <c r="F59" i="2"/>
  <c r="F60" i="2"/>
  <c r="B42" i="2"/>
  <c r="B41" i="2"/>
  <c r="B40" i="2"/>
  <c r="B39" i="2"/>
  <c r="B38" i="2"/>
  <c r="B37" i="2"/>
  <c r="B36" i="2"/>
  <c r="B35" i="2"/>
  <c r="B34" i="2"/>
  <c r="B33" i="2"/>
  <c r="B32" i="2"/>
  <c r="B31" i="2"/>
  <c r="B30" i="2"/>
  <c r="B29" i="2"/>
  <c r="B28" i="2"/>
  <c r="B27" i="2"/>
  <c r="B26" i="2"/>
  <c r="B25" i="2"/>
  <c r="B24" i="2"/>
  <c r="B23" i="2"/>
  <c r="B22" i="2"/>
  <c r="B21" i="2"/>
  <c r="C6" i="9" l="1"/>
  <c r="V9" i="4"/>
  <c r="U8" i="4"/>
  <c r="Y14" i="10"/>
  <c r="Z14" i="10"/>
  <c r="C104" i="8"/>
  <c r="D104" i="8"/>
  <c r="C123" i="8"/>
  <c r="D123" i="8"/>
  <c r="C115" i="8"/>
  <c r="D115" i="8"/>
  <c r="C7" i="8"/>
  <c r="C103" i="8"/>
  <c r="D103" i="8"/>
  <c r="D19" i="8"/>
  <c r="C19" i="8"/>
  <c r="D73" i="8"/>
  <c r="C73" i="8"/>
  <c r="D13" i="8"/>
  <c r="C13" i="8"/>
  <c r="D31" i="8"/>
  <c r="C31" i="8"/>
  <c r="D55" i="8"/>
  <c r="C55" i="8"/>
  <c r="D61" i="8"/>
  <c r="C61" i="8"/>
  <c r="D67" i="8"/>
  <c r="C67" i="8"/>
  <c r="D85" i="8"/>
  <c r="C85" i="8"/>
  <c r="D91" i="8"/>
  <c r="C91" i="8"/>
  <c r="D97" i="8"/>
  <c r="C97" i="8"/>
  <c r="D109" i="8"/>
  <c r="C109" i="8"/>
  <c r="D14" i="8"/>
  <c r="C14" i="8"/>
  <c r="D20" i="8"/>
  <c r="C20" i="8"/>
  <c r="D26" i="8"/>
  <c r="C26" i="8"/>
  <c r="D32" i="8"/>
  <c r="C32" i="8"/>
  <c r="D38" i="8"/>
  <c r="C38" i="8"/>
  <c r="D50" i="8"/>
  <c r="C50" i="8"/>
  <c r="D56" i="8"/>
  <c r="C56" i="8"/>
  <c r="D62" i="8"/>
  <c r="C62" i="8"/>
  <c r="D68" i="8"/>
  <c r="C68" i="8"/>
  <c r="D74" i="8"/>
  <c r="C74" i="8"/>
  <c r="D80" i="8"/>
  <c r="C80" i="8"/>
  <c r="D86" i="8"/>
  <c r="C86" i="8"/>
  <c r="D92" i="8"/>
  <c r="C92" i="8"/>
  <c r="D49" i="8"/>
  <c r="C49" i="8"/>
  <c r="D43" i="8"/>
  <c r="C43" i="8"/>
  <c r="D79" i="8"/>
  <c r="C79" i="8"/>
  <c r="D9" i="8"/>
  <c r="C9" i="8"/>
  <c r="D27" i="8"/>
  <c r="C27" i="8"/>
  <c r="D51" i="8"/>
  <c r="C51" i="8"/>
  <c r="D57" i="8"/>
  <c r="C57" i="8"/>
  <c r="D69" i="8"/>
  <c r="C69" i="8"/>
  <c r="D75" i="8"/>
  <c r="C75" i="8"/>
  <c r="D121" i="8"/>
  <c r="C121" i="8"/>
  <c r="D122" i="8"/>
  <c r="C122" i="8"/>
  <c r="D37" i="8"/>
  <c r="D52" i="8"/>
  <c r="C52" i="8"/>
  <c r="D70" i="8"/>
  <c r="C70" i="8"/>
  <c r="D76" i="8"/>
  <c r="C76" i="8"/>
  <c r="D25" i="8"/>
  <c r="C25" i="8"/>
  <c r="D8" i="8"/>
  <c r="D12" i="8"/>
  <c r="D18" i="8"/>
  <c r="D24" i="8"/>
  <c r="D30" i="8"/>
  <c r="D36" i="8"/>
  <c r="D42" i="8"/>
  <c r="D48" i="8"/>
  <c r="D54" i="8"/>
  <c r="D60" i="8"/>
  <c r="D66" i="8"/>
  <c r="D72" i="8"/>
  <c r="D78" i="8"/>
  <c r="D84" i="8"/>
  <c r="D90" i="8"/>
  <c r="D96" i="8"/>
  <c r="D102" i="8"/>
  <c r="D108" i="8"/>
  <c r="D7" i="8"/>
  <c r="D120" i="8"/>
  <c r="D114" i="8"/>
  <c r="D6" i="8"/>
  <c r="E6" i="9" l="1"/>
  <c r="E9" i="9"/>
  <c r="V10" i="4"/>
  <c r="U9" i="4"/>
  <c r="Z15" i="10"/>
  <c r="Y15" i="10"/>
  <c r="V11" i="4" l="1"/>
  <c r="U10" i="4"/>
  <c r="Z16" i="10"/>
  <c r="Y16" i="10"/>
  <c r="U11" i="4" l="1"/>
  <c r="V12" i="4"/>
  <c r="AC6" i="10"/>
  <c r="U12" i="4" l="1"/>
  <c r="V13" i="4"/>
  <c r="V14" i="4" l="1"/>
  <c r="U13" i="4"/>
  <c r="AB6" i="10"/>
  <c r="Y6" i="10"/>
  <c r="AA6" i="10"/>
  <c r="V15" i="4" l="1"/>
  <c r="U14" i="4"/>
  <c r="Z6" i="10"/>
  <c r="X6" i="10"/>
  <c r="U15" i="4" l="1"/>
  <c r="V16" i="4"/>
  <c r="F8" i="9"/>
  <c r="D8" i="9"/>
  <c r="F7" i="9"/>
  <c r="D7" i="9"/>
  <c r="D12" i="9"/>
  <c r="F12" i="9"/>
  <c r="F10" i="9"/>
  <c r="D10" i="9"/>
  <c r="F11" i="9"/>
  <c r="D11" i="9"/>
  <c r="F6" i="9"/>
  <c r="D6" i="9"/>
  <c r="F14" i="9" l="1"/>
  <c r="D14" i="9"/>
  <c r="V17" i="4"/>
  <c r="U16" i="4"/>
  <c r="F13" i="9"/>
  <c r="AD6" i="10"/>
  <c r="D13" i="9"/>
  <c r="AE6" i="10"/>
  <c r="D9" i="9"/>
  <c r="F9" i="9"/>
  <c r="V18" i="4" l="1"/>
  <c r="D15" i="9"/>
  <c r="F15" i="9"/>
  <c r="U17" i="4"/>
  <c r="U18" i="4" l="1"/>
  <c r="F16" i="9"/>
  <c r="D16" i="9"/>
  <c r="V19" i="4"/>
  <c r="D17" i="9" l="1"/>
  <c r="F17" i="9"/>
  <c r="V20" i="4"/>
  <c r="U19" i="4"/>
  <c r="V21" i="4" l="1"/>
  <c r="D18" i="9"/>
  <c r="F18" i="9"/>
  <c r="U20" i="4"/>
  <c r="F56" i="2"/>
  <c r="D19" i="9" l="1"/>
  <c r="F19" i="9"/>
  <c r="U21" i="4"/>
  <c r="V22" i="4"/>
  <c r="U120" i="4"/>
  <c r="U121" i="4" s="1"/>
  <c r="U122" i="4" s="1"/>
  <c r="U123" i="4" s="1"/>
  <c r="U124" i="4" s="1"/>
  <c r="U125" i="4" s="1"/>
  <c r="V120" i="4"/>
  <c r="V121" i="4" s="1"/>
  <c r="V122" i="4" s="1"/>
  <c r="V123" i="4" s="1"/>
  <c r="V124" i="4" s="1"/>
  <c r="V125" i="4" s="1"/>
  <c r="U22" i="4" l="1"/>
  <c r="V23" i="4"/>
  <c r="F20" i="9"/>
  <c r="D20" i="9"/>
  <c r="V126" i="4"/>
  <c r="V127" i="4" s="1"/>
  <c r="V128" i="4" s="1"/>
  <c r="V129" i="4" s="1"/>
  <c r="V130" i="4" s="1"/>
  <c r="V131" i="4" s="1"/>
  <c r="U126" i="4"/>
  <c r="U127" i="4" s="1"/>
  <c r="U128" i="4" s="1"/>
  <c r="U129" i="4" s="1"/>
  <c r="U130" i="4" s="1"/>
  <c r="U131" i="4" s="1"/>
  <c r="V24" i="4" l="1"/>
  <c r="F21" i="9"/>
  <c r="D21" i="9"/>
  <c r="U23" i="4"/>
  <c r="U132" i="4"/>
  <c r="U133" i="4" s="1"/>
  <c r="U134" i="4" s="1"/>
  <c r="U135" i="4" s="1"/>
  <c r="U136" i="4" s="1"/>
  <c r="U137" i="4" s="1"/>
  <c r="V132" i="4"/>
  <c r="V133" i="4" s="1"/>
  <c r="V134" i="4" s="1"/>
  <c r="V135" i="4" s="1"/>
  <c r="V136" i="4" s="1"/>
  <c r="V137" i="4" s="1"/>
  <c r="V25" i="4" l="1"/>
  <c r="U24" i="4"/>
  <c r="F22" i="9"/>
  <c r="D22" i="9"/>
  <c r="V138" i="4"/>
  <c r="V139" i="4" s="1"/>
  <c r="V140" i="4" s="1"/>
  <c r="V141" i="4" s="1"/>
  <c r="V142" i="4" s="1"/>
  <c r="V143" i="4" s="1"/>
  <c r="U138" i="4"/>
  <c r="U139" i="4" s="1"/>
  <c r="U140" i="4" s="1"/>
  <c r="U141" i="4" s="1"/>
  <c r="U142" i="4" s="1"/>
  <c r="U143" i="4" s="1"/>
  <c r="U25" i="4" l="1"/>
  <c r="F23" i="9"/>
  <c r="D23" i="9"/>
  <c r="V26" i="4"/>
  <c r="U144" i="4"/>
  <c r="U145" i="4" s="1"/>
  <c r="U146" i="4" s="1"/>
  <c r="U147" i="4" s="1"/>
  <c r="U148" i="4" s="1"/>
  <c r="U149" i="4" s="1"/>
  <c r="V144" i="4"/>
  <c r="V145" i="4" s="1"/>
  <c r="V146" i="4" s="1"/>
  <c r="V147" i="4" s="1"/>
  <c r="V148" i="4" s="1"/>
  <c r="V149" i="4" s="1"/>
  <c r="U26" i="4" l="1"/>
  <c r="V27" i="4"/>
  <c r="F24" i="9"/>
  <c r="D24" i="9"/>
  <c r="V150" i="4"/>
  <c r="V151" i="4" s="1"/>
  <c r="V152" i="4" s="1"/>
  <c r="V153" i="4" s="1"/>
  <c r="V154" i="4" s="1"/>
  <c r="V155" i="4" s="1"/>
  <c r="U150" i="4"/>
  <c r="U151" i="4" s="1"/>
  <c r="U152" i="4" s="1"/>
  <c r="U153" i="4" s="1"/>
  <c r="U154" i="4" s="1"/>
  <c r="U155" i="4" s="1"/>
  <c r="V28" i="4" l="1"/>
  <c r="F25" i="9"/>
  <c r="D25" i="9"/>
  <c r="U27" i="4"/>
  <c r="U156" i="4"/>
  <c r="U157" i="4" s="1"/>
  <c r="U158" i="4" s="1"/>
  <c r="U159" i="4" s="1"/>
  <c r="U160" i="4" s="1"/>
  <c r="U161" i="4" s="1"/>
  <c r="V156" i="4"/>
  <c r="V157" i="4" s="1"/>
  <c r="V158" i="4" s="1"/>
  <c r="V159" i="4" s="1"/>
  <c r="V160" i="4" s="1"/>
  <c r="V161" i="4" s="1"/>
  <c r="F26" i="9" l="1"/>
  <c r="D26" i="9"/>
  <c r="V29" i="4"/>
  <c r="U28" i="4"/>
  <c r="V162" i="4"/>
  <c r="V163" i="4" s="1"/>
  <c r="V164" i="4" s="1"/>
  <c r="V165" i="4" s="1"/>
  <c r="V166" i="4" s="1"/>
  <c r="V167" i="4" s="1"/>
  <c r="U162" i="4"/>
  <c r="U163" i="4" s="1"/>
  <c r="U164" i="4" s="1"/>
  <c r="U165" i="4" s="1"/>
  <c r="U166" i="4" s="1"/>
  <c r="U167" i="4" s="1"/>
  <c r="F27" i="9" l="1"/>
  <c r="D27" i="9"/>
  <c r="U29" i="4"/>
  <c r="V30" i="4"/>
  <c r="U168" i="4"/>
  <c r="U169" i="4" s="1"/>
  <c r="U170" i="4" s="1"/>
  <c r="U171" i="4" s="1"/>
  <c r="U172" i="4" s="1"/>
  <c r="U173" i="4" s="1"/>
  <c r="V168" i="4"/>
  <c r="V169" i="4" s="1"/>
  <c r="V170" i="4" s="1"/>
  <c r="V171" i="4" s="1"/>
  <c r="V172" i="4" s="1"/>
  <c r="V173" i="4" s="1"/>
  <c r="U30" i="4" l="1"/>
  <c r="D28" i="9"/>
  <c r="F28" i="9"/>
  <c r="V31" i="4"/>
  <c r="V174" i="4"/>
  <c r="V175" i="4" s="1"/>
  <c r="V176" i="4" s="1"/>
  <c r="V177" i="4" s="1"/>
  <c r="V178" i="4" s="1"/>
  <c r="V179" i="4" s="1"/>
  <c r="U174" i="4"/>
  <c r="U175" i="4" s="1"/>
  <c r="U176" i="4" s="1"/>
  <c r="U177" i="4" s="1"/>
  <c r="U178" i="4" s="1"/>
  <c r="U179" i="4" s="1"/>
  <c r="V32" i="4" l="1"/>
  <c r="F29" i="9"/>
  <c r="D29" i="9"/>
  <c r="U31" i="4"/>
  <c r="V180" i="4"/>
  <c r="V181" i="4" s="1"/>
  <c r="V182" i="4" s="1"/>
  <c r="V183" i="4" s="1"/>
  <c r="V184" i="4" s="1"/>
  <c r="V185" i="4" s="1"/>
  <c r="U180" i="4"/>
  <c r="U181" i="4" s="1"/>
  <c r="U182" i="4" s="1"/>
  <c r="U183" i="4" s="1"/>
  <c r="U184" i="4" s="1"/>
  <c r="U185" i="4" s="1"/>
  <c r="D30" i="9" l="1"/>
  <c r="F30" i="9"/>
  <c r="U32" i="4"/>
  <c r="V33" i="4"/>
  <c r="U186" i="4"/>
  <c r="U187" i="4" s="1"/>
  <c r="U188" i="4" s="1"/>
  <c r="U189" i="4" s="1"/>
  <c r="U190" i="4" s="1"/>
  <c r="U191" i="4" s="1"/>
  <c r="V186" i="4"/>
  <c r="V187" i="4" s="1"/>
  <c r="V188" i="4" s="1"/>
  <c r="V189" i="4" s="1"/>
  <c r="V190" i="4" s="1"/>
  <c r="V191" i="4" s="1"/>
  <c r="U33" i="4" l="1"/>
  <c r="V34" i="4"/>
  <c r="D31" i="9"/>
  <c r="F31" i="9"/>
  <c r="V192" i="4"/>
  <c r="V193" i="4" s="1"/>
  <c r="V194" i="4" s="1"/>
  <c r="V195" i="4" s="1"/>
  <c r="V196" i="4" s="1"/>
  <c r="V197" i="4" s="1"/>
  <c r="U192" i="4"/>
  <c r="U193" i="4" s="1"/>
  <c r="U194" i="4" s="1"/>
  <c r="U195" i="4" s="1"/>
  <c r="U196" i="4" s="1"/>
  <c r="U197" i="4" s="1"/>
  <c r="V35" i="4" l="1"/>
  <c r="D32" i="9"/>
  <c r="F32" i="9"/>
  <c r="U34" i="4"/>
  <c r="U198" i="4"/>
  <c r="U199" i="4" s="1"/>
  <c r="U200" i="4" s="1"/>
  <c r="U201" i="4" s="1"/>
  <c r="U202" i="4" s="1"/>
  <c r="U203" i="4" s="1"/>
  <c r="V198" i="4"/>
  <c r="V199" i="4" s="1"/>
  <c r="V200" i="4" s="1"/>
  <c r="V201" i="4" s="1"/>
  <c r="V202" i="4" s="1"/>
  <c r="V203" i="4" s="1"/>
  <c r="D33" i="9" l="1"/>
  <c r="F33" i="9"/>
  <c r="U35" i="4"/>
  <c r="V36" i="4"/>
  <c r="V204" i="4"/>
  <c r="V205" i="4" s="1"/>
  <c r="V206" i="4" s="1"/>
  <c r="V207" i="4" s="1"/>
  <c r="V208" i="4" s="1"/>
  <c r="V209" i="4" s="1"/>
  <c r="U204" i="4"/>
  <c r="U205" i="4" s="1"/>
  <c r="U206" i="4" s="1"/>
  <c r="U207" i="4" s="1"/>
  <c r="U208" i="4" s="1"/>
  <c r="U209" i="4" s="1"/>
  <c r="U36" i="4" l="1"/>
  <c r="D34" i="9"/>
  <c r="F34" i="9"/>
  <c r="V37" i="4"/>
  <c r="V210" i="4"/>
  <c r="V211" i="4" s="1"/>
  <c r="V212" i="4" s="1"/>
  <c r="V213" i="4" s="1"/>
  <c r="V214" i="4" s="1"/>
  <c r="V215" i="4" s="1"/>
  <c r="U210" i="4"/>
  <c r="U211" i="4" s="1"/>
  <c r="U212" i="4" s="1"/>
  <c r="U213" i="4" s="1"/>
  <c r="U214" i="4" s="1"/>
  <c r="U215" i="4" s="1"/>
  <c r="U37" i="4" l="1"/>
  <c r="D35" i="9"/>
  <c r="F35" i="9"/>
  <c r="V38" i="4"/>
  <c r="U216" i="4"/>
  <c r="U217" i="4" s="1"/>
  <c r="U218" i="4" s="1"/>
  <c r="U219" i="4" s="1"/>
  <c r="U220" i="4" s="1"/>
  <c r="U221" i="4" s="1"/>
  <c r="V216" i="4"/>
  <c r="V217" i="4" s="1"/>
  <c r="V218" i="4" s="1"/>
  <c r="V219" i="4" s="1"/>
  <c r="V220" i="4" s="1"/>
  <c r="V221" i="4" s="1"/>
  <c r="U38" i="4" l="1"/>
  <c r="F36" i="9"/>
  <c r="D36" i="9"/>
  <c r="V39" i="4"/>
  <c r="V222" i="4"/>
  <c r="V223" i="4" s="1"/>
  <c r="V224" i="4" s="1"/>
  <c r="V225" i="4" s="1"/>
  <c r="V226" i="4" s="1"/>
  <c r="V227" i="4" s="1"/>
  <c r="U222" i="4"/>
  <c r="U223" i="4" s="1"/>
  <c r="U224" i="4" s="1"/>
  <c r="U225" i="4" s="1"/>
  <c r="U226" i="4" s="1"/>
  <c r="U227" i="4" s="1"/>
  <c r="U39" i="4" l="1"/>
  <c r="V40" i="4"/>
  <c r="F37" i="9"/>
  <c r="D37" i="9"/>
  <c r="V228" i="4"/>
  <c r="V229" i="4" s="1"/>
  <c r="V230" i="4" s="1"/>
  <c r="V231" i="4" s="1"/>
  <c r="V232" i="4" s="1"/>
  <c r="V233" i="4" s="1"/>
  <c r="U228" i="4"/>
  <c r="U229" i="4" s="1"/>
  <c r="U230" i="4" s="1"/>
  <c r="U231" i="4" s="1"/>
  <c r="U232" i="4" s="1"/>
  <c r="U233" i="4" s="1"/>
  <c r="V41" i="4" l="1"/>
  <c r="U40" i="4"/>
  <c r="D38" i="9"/>
  <c r="F38" i="9"/>
  <c r="U234" i="4"/>
  <c r="U235" i="4" s="1"/>
  <c r="U236" i="4" s="1"/>
  <c r="U237" i="4" s="1"/>
  <c r="U238" i="4" s="1"/>
  <c r="U239" i="4" s="1"/>
  <c r="V234" i="4"/>
  <c r="V235" i="4" s="1"/>
  <c r="V236" i="4" s="1"/>
  <c r="V237" i="4" s="1"/>
  <c r="V238" i="4" s="1"/>
  <c r="V239" i="4" s="1"/>
  <c r="U41" i="4" l="1"/>
  <c r="D39" i="9"/>
  <c r="F39" i="9"/>
  <c r="V42" i="4"/>
  <c r="V240" i="4"/>
  <c r="V241" i="4" s="1"/>
  <c r="V242" i="4" s="1"/>
  <c r="V243" i="4" s="1"/>
  <c r="V244" i="4" s="1"/>
  <c r="V245" i="4" s="1"/>
  <c r="U240" i="4"/>
  <c r="U241" i="4" s="1"/>
  <c r="U242" i="4" s="1"/>
  <c r="U243" i="4" s="1"/>
  <c r="U244" i="4" s="1"/>
  <c r="U245" i="4" s="1"/>
  <c r="U42" i="4" l="1"/>
  <c r="V43" i="4"/>
  <c r="D40" i="9"/>
  <c r="F40" i="9"/>
  <c r="U246" i="4"/>
  <c r="U247" i="4" s="1"/>
  <c r="U248" i="4" s="1"/>
  <c r="U249" i="4" s="1"/>
  <c r="U250" i="4" s="1"/>
  <c r="U251" i="4" s="1"/>
  <c r="V246" i="4"/>
  <c r="V247" i="4" s="1"/>
  <c r="V248" i="4" s="1"/>
  <c r="V249" i="4" s="1"/>
  <c r="V250" i="4" s="1"/>
  <c r="V251" i="4" s="1"/>
  <c r="V44" i="4" l="1"/>
  <c r="F41" i="9"/>
  <c r="D41" i="9"/>
  <c r="U43" i="4"/>
  <c r="U252" i="4"/>
  <c r="U253" i="4" s="1"/>
  <c r="U254" i="4" s="1"/>
  <c r="U255" i="4" s="1"/>
  <c r="U256" i="4" s="1"/>
  <c r="U257" i="4" s="1"/>
  <c r="V252" i="4"/>
  <c r="V253" i="4" s="1"/>
  <c r="V254" i="4" s="1"/>
  <c r="V255" i="4" s="1"/>
  <c r="V256" i="4" s="1"/>
  <c r="V257" i="4" s="1"/>
  <c r="D42" i="9" l="1"/>
  <c r="F42" i="9"/>
  <c r="U44" i="4"/>
  <c r="V45" i="4"/>
  <c r="U258" i="4"/>
  <c r="U259" i="4" s="1"/>
  <c r="U260" i="4" s="1"/>
  <c r="U261" i="4" s="1"/>
  <c r="U262" i="4" s="1"/>
  <c r="U263" i="4" s="1"/>
  <c r="V258" i="4"/>
  <c r="V259" i="4" s="1"/>
  <c r="V260" i="4" s="1"/>
  <c r="V261" i="4" s="1"/>
  <c r="V262" i="4" s="1"/>
  <c r="V263" i="4" s="1"/>
  <c r="U45" i="4" l="1"/>
  <c r="F43" i="9"/>
  <c r="D43" i="9"/>
  <c r="V46" i="4"/>
  <c r="U264" i="4"/>
  <c r="U265" i="4" s="1"/>
  <c r="U266" i="4" s="1"/>
  <c r="U267" i="4" s="1"/>
  <c r="U268" i="4" s="1"/>
  <c r="U269" i="4" s="1"/>
  <c r="V264" i="4"/>
  <c r="V265" i="4" s="1"/>
  <c r="V266" i="4" s="1"/>
  <c r="V267" i="4" s="1"/>
  <c r="V268" i="4" s="1"/>
  <c r="V269" i="4" s="1"/>
  <c r="F44" i="9" l="1"/>
  <c r="D44" i="9"/>
  <c r="V47" i="4"/>
  <c r="U46" i="4"/>
  <c r="U270" i="4"/>
  <c r="U271" i="4" s="1"/>
  <c r="U272" i="4" s="1"/>
  <c r="U273" i="4" s="1"/>
  <c r="U274" i="4" s="1"/>
  <c r="U275" i="4" s="1"/>
  <c r="V270" i="4"/>
  <c r="V271" i="4" s="1"/>
  <c r="V272" i="4" s="1"/>
  <c r="V273" i="4" s="1"/>
  <c r="V274" i="4" s="1"/>
  <c r="V275" i="4" s="1"/>
  <c r="V48" i="4" l="1"/>
  <c r="U47" i="4"/>
  <c r="F45" i="9"/>
  <c r="D45" i="9"/>
  <c r="V276" i="4"/>
  <c r="V277" i="4" s="1"/>
  <c r="V278" i="4" s="1"/>
  <c r="V279" i="4" s="1"/>
  <c r="V280" i="4" s="1"/>
  <c r="V281" i="4" s="1"/>
  <c r="U276" i="4"/>
  <c r="U277" i="4" s="1"/>
  <c r="U278" i="4" s="1"/>
  <c r="U279" i="4" s="1"/>
  <c r="U280" i="4" s="1"/>
  <c r="U281" i="4" s="1"/>
  <c r="U48" i="4" l="1"/>
  <c r="V49" i="4"/>
  <c r="D46" i="9"/>
  <c r="F46" i="9"/>
  <c r="V282" i="4"/>
  <c r="V283" i="4" s="1"/>
  <c r="V284" i="4" s="1"/>
  <c r="V285" i="4" s="1"/>
  <c r="V286" i="4" s="1"/>
  <c r="V287" i="4" s="1"/>
  <c r="U282" i="4"/>
  <c r="U283" i="4" s="1"/>
  <c r="U284" i="4" s="1"/>
  <c r="U285" i="4" s="1"/>
  <c r="U286" i="4" s="1"/>
  <c r="U287" i="4" s="1"/>
  <c r="V50" i="4" l="1"/>
  <c r="U49" i="4"/>
  <c r="D47" i="9"/>
  <c r="F47" i="9"/>
  <c r="V288" i="4"/>
  <c r="V289" i="4" s="1"/>
  <c r="V290" i="4" s="1"/>
  <c r="V291" i="4" s="1"/>
  <c r="V292" i="4" s="1"/>
  <c r="V293" i="4" s="1"/>
  <c r="U288" i="4"/>
  <c r="U289" i="4" s="1"/>
  <c r="U290" i="4" s="1"/>
  <c r="U291" i="4" s="1"/>
  <c r="U292" i="4" s="1"/>
  <c r="U293" i="4" s="1"/>
  <c r="U50" i="4" l="1"/>
  <c r="D48" i="9"/>
  <c r="F48" i="9"/>
  <c r="V51" i="4"/>
  <c r="U294" i="4"/>
  <c r="U295" i="4" s="1"/>
  <c r="U296" i="4" s="1"/>
  <c r="U297" i="4" s="1"/>
  <c r="U298" i="4" s="1"/>
  <c r="U299" i="4" s="1"/>
  <c r="V294" i="4"/>
  <c r="V295" i="4" s="1"/>
  <c r="V296" i="4" s="1"/>
  <c r="V297" i="4" s="1"/>
  <c r="V298" i="4" s="1"/>
  <c r="V299" i="4" s="1"/>
  <c r="U51" i="4" l="1"/>
  <c r="V52" i="4"/>
  <c r="F49" i="9"/>
  <c r="D49" i="9"/>
  <c r="V300" i="4"/>
  <c r="V301" i="4" s="1"/>
  <c r="V302" i="4" s="1"/>
  <c r="V303" i="4" s="1"/>
  <c r="V304" i="4" s="1"/>
  <c r="V305" i="4" s="1"/>
  <c r="U300" i="4"/>
  <c r="U301" i="4" s="1"/>
  <c r="U302" i="4" s="1"/>
  <c r="U303" i="4" s="1"/>
  <c r="U304" i="4" s="1"/>
  <c r="U305" i="4" s="1"/>
  <c r="V53" i="4" l="1"/>
  <c r="U52" i="4"/>
  <c r="D50" i="9"/>
  <c r="F50" i="9"/>
  <c r="U306" i="4"/>
  <c r="U307" i="4" s="1"/>
  <c r="U308" i="4" s="1"/>
  <c r="U309" i="4" s="1"/>
  <c r="U310" i="4" s="1"/>
  <c r="U311" i="4" s="1"/>
  <c r="V306" i="4"/>
  <c r="V307" i="4" s="1"/>
  <c r="V308" i="4" s="1"/>
  <c r="V309" i="4" s="1"/>
  <c r="V310" i="4" s="1"/>
  <c r="V311" i="4" s="1"/>
  <c r="F51" i="9" l="1"/>
  <c r="D51" i="9"/>
  <c r="V54" i="4"/>
  <c r="U53" i="4"/>
  <c r="U312" i="4"/>
  <c r="U313" i="4" s="1"/>
  <c r="U314" i="4" s="1"/>
  <c r="U315" i="4" s="1"/>
  <c r="U316" i="4" s="1"/>
  <c r="U317" i="4" s="1"/>
  <c r="V312" i="4"/>
  <c r="V313" i="4" s="1"/>
  <c r="V314" i="4" s="1"/>
  <c r="V315" i="4" s="1"/>
  <c r="V316" i="4" s="1"/>
  <c r="V317" i="4" s="1"/>
  <c r="F52" i="9" l="1"/>
  <c r="D52" i="9"/>
  <c r="U54" i="4"/>
  <c r="V55" i="4"/>
  <c r="U318" i="4"/>
  <c r="U319" i="4" s="1"/>
  <c r="U320" i="4" s="1"/>
  <c r="U321" i="4" s="1"/>
  <c r="U322" i="4" s="1"/>
  <c r="U323" i="4" s="1"/>
  <c r="V318" i="4"/>
  <c r="V319" i="4" s="1"/>
  <c r="V320" i="4" s="1"/>
  <c r="V321" i="4" s="1"/>
  <c r="V322" i="4" s="1"/>
  <c r="V323" i="4" s="1"/>
  <c r="U55" i="4" l="1"/>
  <c r="F53" i="9"/>
  <c r="D53" i="9"/>
  <c r="V56" i="4"/>
  <c r="U324" i="4"/>
  <c r="U325" i="4" s="1"/>
  <c r="U326" i="4" s="1"/>
  <c r="U327" i="4" s="1"/>
  <c r="U328" i="4" s="1"/>
  <c r="U329" i="4" s="1"/>
  <c r="V324" i="4"/>
  <c r="V325" i="4" s="1"/>
  <c r="V326" i="4" s="1"/>
  <c r="V327" i="4" s="1"/>
  <c r="V328" i="4" s="1"/>
  <c r="V329" i="4" s="1"/>
  <c r="U56" i="4" l="1"/>
  <c r="F54" i="9"/>
  <c r="D54" i="9"/>
  <c r="V57" i="4"/>
  <c r="U330" i="4"/>
  <c r="U331" i="4" s="1"/>
  <c r="U332" i="4" s="1"/>
  <c r="U333" i="4" s="1"/>
  <c r="U334" i="4" s="1"/>
  <c r="U335" i="4" s="1"/>
  <c r="V330" i="4"/>
  <c r="V331" i="4" s="1"/>
  <c r="V332" i="4" s="1"/>
  <c r="V333" i="4" s="1"/>
  <c r="V334" i="4" s="1"/>
  <c r="V335" i="4" s="1"/>
  <c r="U57" i="4" l="1"/>
  <c r="V58" i="4"/>
  <c r="F55" i="9"/>
  <c r="D55" i="9"/>
  <c r="U336" i="4"/>
  <c r="U337" i="4" s="1"/>
  <c r="U338" i="4" s="1"/>
  <c r="U339" i="4" s="1"/>
  <c r="U340" i="4" s="1"/>
  <c r="U341" i="4" s="1"/>
  <c r="V336" i="4"/>
  <c r="V337" i="4" s="1"/>
  <c r="V338" i="4" s="1"/>
  <c r="V339" i="4" s="1"/>
  <c r="V340" i="4" s="1"/>
  <c r="V341" i="4" s="1"/>
  <c r="V59" i="4" l="1"/>
  <c r="F56" i="9"/>
  <c r="D56" i="9"/>
  <c r="U58" i="4"/>
  <c r="U342" i="4"/>
  <c r="U343" i="4" s="1"/>
  <c r="U344" i="4" s="1"/>
  <c r="U345" i="4" s="1"/>
  <c r="U346" i="4" s="1"/>
  <c r="U347" i="4" s="1"/>
  <c r="V342" i="4"/>
  <c r="V343" i="4" s="1"/>
  <c r="V344" i="4" s="1"/>
  <c r="V345" i="4" s="1"/>
  <c r="V346" i="4" s="1"/>
  <c r="V347" i="4" s="1"/>
  <c r="V60" i="4" l="1"/>
  <c r="U59" i="4"/>
  <c r="F57" i="9"/>
  <c r="D57" i="9"/>
  <c r="U348" i="4"/>
  <c r="U349" i="4" s="1"/>
  <c r="U350" i="4" s="1"/>
  <c r="U351" i="4" s="1"/>
  <c r="U352" i="4" s="1"/>
  <c r="U353" i="4" s="1"/>
  <c r="V348" i="4"/>
  <c r="V349" i="4" s="1"/>
  <c r="V350" i="4" s="1"/>
  <c r="V351" i="4" s="1"/>
  <c r="V352" i="4" s="1"/>
  <c r="V353" i="4" s="1"/>
  <c r="U60" i="4" l="1"/>
  <c r="F58" i="9"/>
  <c r="D58" i="9"/>
  <c r="V61" i="4"/>
  <c r="V62" i="4" l="1"/>
  <c r="U61" i="4"/>
  <c r="F59" i="9"/>
  <c r="D59" i="9"/>
  <c r="V63" i="4" l="1"/>
  <c r="V64" i="4" s="1"/>
  <c r="V65" i="4" s="1"/>
  <c r="V66" i="4" s="1"/>
  <c r="V67" i="4" s="1"/>
  <c r="V68" i="4" s="1"/>
  <c r="V69" i="4" s="1"/>
  <c r="V70" i="4" s="1"/>
  <c r="V71" i="4" s="1"/>
  <c r="V72" i="4" s="1"/>
  <c r="V73" i="4" s="1"/>
  <c r="V74" i="4" s="1"/>
  <c r="V75" i="4" s="1"/>
  <c r="V76" i="4" s="1"/>
  <c r="V77" i="4" s="1"/>
  <c r="V78" i="4" s="1"/>
  <c r="V79" i="4" s="1"/>
  <c r="V80" i="4" s="1"/>
  <c r="V81" i="4" s="1"/>
  <c r="V82" i="4" s="1"/>
  <c r="V83" i="4" s="1"/>
  <c r="V84" i="4" s="1"/>
  <c r="V85" i="4" s="1"/>
  <c r="V86" i="4" s="1"/>
  <c r="V87" i="4" s="1"/>
  <c r="V88" i="4" s="1"/>
  <c r="V89" i="4" s="1"/>
  <c r="V90" i="4" s="1"/>
  <c r="V91" i="4" s="1"/>
  <c r="V92" i="4" s="1"/>
  <c r="V93" i="4" s="1"/>
  <c r="V94" i="4" s="1"/>
  <c r="V95" i="4" s="1"/>
  <c r="V96" i="4" s="1"/>
  <c r="V97" i="4" s="1"/>
  <c r="V98" i="4" s="1"/>
  <c r="V99" i="4" s="1"/>
  <c r="V100" i="4" s="1"/>
  <c r="V101" i="4" s="1"/>
  <c r="V102" i="4" s="1"/>
  <c r="V103" i="4" s="1"/>
  <c r="V104" i="4" s="1"/>
  <c r="V105" i="4" s="1"/>
  <c r="V106" i="4" s="1"/>
  <c r="V107" i="4" s="1"/>
  <c r="V108" i="4" s="1"/>
  <c r="V109" i="4" s="1"/>
  <c r="V110" i="4" s="1"/>
  <c r="V111" i="4" s="1"/>
  <c r="V112" i="4" s="1"/>
  <c r="V113" i="4" s="1"/>
  <c r="V114" i="4" s="1"/>
  <c r="V115" i="4" s="1"/>
  <c r="V116" i="4" s="1"/>
  <c r="V117" i="4" s="1"/>
  <c r="V118" i="4" s="1"/>
  <c r="V119" i="4" s="1"/>
  <c r="F60" i="9"/>
  <c r="D60" i="9"/>
  <c r="U62" i="4"/>
  <c r="U63" i="4" l="1"/>
  <c r="U64" i="4" s="1"/>
  <c r="U65" i="4" s="1"/>
  <c r="U66" i="4" s="1"/>
  <c r="U67" i="4" s="1"/>
  <c r="U68" i="4" s="1"/>
  <c r="U69" i="4" s="1"/>
  <c r="U70" i="4" s="1"/>
  <c r="U71" i="4" s="1"/>
  <c r="U72" i="4" s="1"/>
  <c r="U73" i="4" s="1"/>
  <c r="U74" i="4" s="1"/>
  <c r="U75" i="4" s="1"/>
  <c r="U76" i="4" s="1"/>
  <c r="U77" i="4" s="1"/>
  <c r="U78" i="4" s="1"/>
  <c r="U79" i="4" s="1"/>
  <c r="U80" i="4" s="1"/>
  <c r="U81" i="4" s="1"/>
  <c r="U82" i="4" s="1"/>
  <c r="U83" i="4" s="1"/>
  <c r="U84" i="4" s="1"/>
  <c r="U85" i="4" s="1"/>
  <c r="U86" i="4" s="1"/>
  <c r="U87" i="4" s="1"/>
  <c r="U88" i="4" s="1"/>
  <c r="U89" i="4" s="1"/>
  <c r="U90" i="4" s="1"/>
  <c r="U91" i="4" s="1"/>
  <c r="U92" i="4" s="1"/>
  <c r="U93" i="4" s="1"/>
  <c r="U94" i="4" s="1"/>
  <c r="U95" i="4" s="1"/>
  <c r="U96" i="4" s="1"/>
  <c r="U97" i="4" s="1"/>
  <c r="U98" i="4" s="1"/>
  <c r="U99" i="4" s="1"/>
  <c r="U100" i="4" s="1"/>
  <c r="U101" i="4" s="1"/>
  <c r="U102" i="4" s="1"/>
  <c r="U103" i="4" s="1"/>
  <c r="U104" i="4" s="1"/>
  <c r="U105" i="4" s="1"/>
  <c r="U106" i="4" s="1"/>
  <c r="U107" i="4" s="1"/>
  <c r="U108" i="4" s="1"/>
  <c r="U109" i="4" s="1"/>
  <c r="U110" i="4" s="1"/>
  <c r="U111" i="4" s="1"/>
  <c r="U112" i="4" s="1"/>
  <c r="U113" i="4" s="1"/>
  <c r="U114" i="4" s="1"/>
  <c r="U115" i="4" s="1"/>
  <c r="U116" i="4" s="1"/>
  <c r="U117" i="4" s="1"/>
  <c r="U118" i="4" s="1"/>
  <c r="U119" i="4" s="1"/>
  <c r="D61" i="9"/>
  <c r="F61" i="9"/>
  <c r="D62" i="9" l="1"/>
  <c r="F62" i="9"/>
  <c r="F63" i="9" l="1"/>
  <c r="D6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tc={07F6BEB4-8E6F-4095-94A1-3FEF0D0C0726}</author>
    <author>alix lorena moreno cordoba</author>
  </authors>
  <commentList>
    <comment ref="D5" authorId="0" shapeId="0" xr:uid="{07F6BEB4-8E6F-4095-94A1-3FEF0D0C0726}">
      <text>
        <t>[Comentario encadenado]
Su versión de Excel le permite leer este comentario encadenado; sin embargo, las ediciones que se apliquen se quitarán si el archivo se abre en una versión más reciente de Excel. Más información: https://go.microsoft.com/fwlink/?linkid=870924
Comentario:
    Solicitar a Gdocumental</t>
      </text>
    </comment>
    <comment ref="N23" authorId="1" shapeId="0" xr:uid="{EDD2EA23-54D5-4ED5-BD83-E53BB8E8D510}">
      <text>
        <r>
          <rPr>
            <b/>
            <sz val="9"/>
            <color indexed="81"/>
            <rFont val="Tahoma"/>
            <family val="2"/>
          </rPr>
          <t>alix lorena moreno cordoba:</t>
        </r>
        <r>
          <rPr>
            <sz val="9"/>
            <color indexed="81"/>
            <rFont val="Tahoma"/>
            <family val="2"/>
          </rPr>
          <t xml:space="preserve">
Cumplimiento</t>
        </r>
      </text>
    </comment>
    <comment ref="N25" authorId="1" shapeId="0" xr:uid="{A50F016D-1087-4D3A-B03D-59A89C7697B7}">
      <text>
        <r>
          <rPr>
            <b/>
            <sz val="9"/>
            <color indexed="81"/>
            <rFont val="Tahoma"/>
            <family val="2"/>
          </rPr>
          <t>alix lorena moreno cordoba:</t>
        </r>
        <r>
          <rPr>
            <sz val="9"/>
            <color indexed="81"/>
            <rFont val="Tahoma"/>
            <family val="2"/>
          </rPr>
          <t xml:space="preserve">
cumplimiennto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tc={E2EF70ED-2AEB-4467-813D-BA0BDB7D1B53}</author>
  </authors>
  <commentList>
    <comment ref="E2" authorId="0" shapeId="0" xr:uid="{E2EF70ED-2AEB-4467-813D-BA0BDB7D1B53}">
      <text>
        <t>[Comentario encadenado]
Su versión de Excel le permite leer este comentario encadenado; sin embargo, las ediciones que se apliquen se quitarán si el archivo se abre en una versión más reciente de Excel. Más información: https://go.microsoft.com/fwlink/?linkid=870924
Comentario:
    Especificar la unidad de medida</t>
      </text>
    </comment>
  </commentList>
</comments>
</file>

<file path=xl/sharedStrings.xml><?xml version="1.0" encoding="utf-8"?>
<sst xmlns="http://schemas.openxmlformats.org/spreadsheetml/2006/main" count="2598" uniqueCount="833">
  <si>
    <t>TIPO DILIGENCIAMIENTO</t>
  </si>
  <si>
    <t>MAPA RIESGO DE SEGURIDAD DIGITAL</t>
  </si>
  <si>
    <t>Automático</t>
  </si>
  <si>
    <t>1. IDENTIFICACIÓN DEL RIESGO</t>
  </si>
  <si>
    <t>2. ANÁLISIS DEL RIESGO INHERENTE</t>
  </si>
  <si>
    <t>3. DISEÑO Y ANÁLISIS DE CONTROLES</t>
  </si>
  <si>
    <t>4. EVALUACIÓN DEL RIESGO RESIDUAL</t>
  </si>
  <si>
    <t>5. ESTRATEGIAS PARA ADMINISTRACIÓN DEL RIESGO</t>
  </si>
  <si>
    <t>1.1 Cualificación del riesgo</t>
  </si>
  <si>
    <t>1.2 Cuantificación del riesgo</t>
  </si>
  <si>
    <t>2.1 Análisis probabilidad</t>
  </si>
  <si>
    <t>2.2 Análisis impacto</t>
  </si>
  <si>
    <t>2.3 Análisis severidad</t>
  </si>
  <si>
    <t>3.1 Descriptores del control</t>
  </si>
  <si>
    <t>3.2 Atributos de eficiencia</t>
  </si>
  <si>
    <t>4.2 Riesgo residual</t>
  </si>
  <si>
    <t>5.1 Estrategias a desarrollar con el plan de reducción</t>
  </si>
  <si>
    <t>ID_R</t>
  </si>
  <si>
    <t>Proceso</t>
  </si>
  <si>
    <t>Oficina Productora</t>
  </si>
  <si>
    <t>Código Riesgo</t>
  </si>
  <si>
    <t>Tipo activo de información</t>
  </si>
  <si>
    <t>Nombre activo de información</t>
  </si>
  <si>
    <t>Factor de riesgo</t>
  </si>
  <si>
    <t>Riesgo seguridad</t>
  </si>
  <si>
    <t>Amenaza</t>
  </si>
  <si>
    <t>Vulnerabilidades (Causas)</t>
  </si>
  <si>
    <t>Descripción del riesgo</t>
  </si>
  <si>
    <t>Frecuencia</t>
  </si>
  <si>
    <t>Unidad de medida</t>
  </si>
  <si>
    <t>Afectación</t>
  </si>
  <si>
    <t>Impacto</t>
  </si>
  <si>
    <t>Probabilidad inherente</t>
  </si>
  <si>
    <t>Impacto inherente</t>
  </si>
  <si>
    <t>Severidad inherente</t>
  </si>
  <si>
    <t>Responsable de ejecutar</t>
  </si>
  <si>
    <t>Acción de control</t>
  </si>
  <si>
    <t>Momento de ejecución</t>
  </si>
  <si>
    <t>Forma de ejecución</t>
  </si>
  <si>
    <t>Probabilidad residual</t>
  </si>
  <si>
    <t>Impacto residual</t>
  </si>
  <si>
    <t>Severidad residual</t>
  </si>
  <si>
    <t>Tratamiento</t>
  </si>
  <si>
    <t>Actividad fortalecimiento</t>
  </si>
  <si>
    <t>Responsable estrategia</t>
  </si>
  <si>
    <t>Fecha inicio</t>
  </si>
  <si>
    <t>Fecha fin</t>
  </si>
  <si>
    <t>Estado de la  actividad</t>
  </si>
  <si>
    <t>Gestión del talento humano</t>
  </si>
  <si>
    <t>Grupo de Talento Humano</t>
  </si>
  <si>
    <t>GTH-TH1</t>
  </si>
  <si>
    <t>Personas</t>
  </si>
  <si>
    <t>Funcionarios</t>
  </si>
  <si>
    <t>F_Talento_Humano</t>
  </si>
  <si>
    <t>pérdida de disponibilidad</t>
  </si>
  <si>
    <t>situaciones administrativas o muerte.</t>
  </si>
  <si>
    <t>Enfermedades, Incapacidades</t>
  </si>
  <si>
    <t xml:space="preserve"> </t>
  </si>
  <si>
    <t>Operacional</t>
  </si>
  <si>
    <t>Interrupción de las operaciones del ICC entre 24 y 48 horas</t>
  </si>
  <si>
    <t>Alta</t>
  </si>
  <si>
    <t>Mayor</t>
  </si>
  <si>
    <t>EXTREMO</t>
  </si>
  <si>
    <t xml:space="preserve">1. Personal en contingencia para reemplazar ante cualquier situación administrativa (relación 1 a 1)
2. Reunión entre coordinación y funcionarios en situación.
3. Procedimientos que se encuentran en la dependencia, que orientan las funciones a realizar en caso de Indisponibilidad del funcionario
4. Aula de inducción virtual 
5. Acta de entrega del cargo
</t>
  </si>
  <si>
    <t>Preventivo</t>
  </si>
  <si>
    <t>Manual</t>
  </si>
  <si>
    <t>Menor</t>
  </si>
  <si>
    <t>MODERADO</t>
  </si>
  <si>
    <t>Reducir (mitigar)</t>
  </si>
  <si>
    <t>1. Actualización de política de seguridad de la información (politica de talento humano) donde se de instrucción a que todos los funcionarios deben asumir en caso de ausencia por situaciones administrativas las funciones encomendadas por su jefe inmediato o coordinador
2. Identificar procesos críicos del ICC.
3. Identificar funcionarios en contingencia
4. Realizar capacitación especifica a los funcionarios en contingencia</t>
  </si>
  <si>
    <t>1. Oficial de seguridad
2. Oficial de Seguridad + Coordinador del grupo (matriz de riesgo operativo y matriz de procesos críticos)
3. Coordinador del grupo + (matriz de riesgo operativo y matriz de procesos críticos)
4. Talento Humano (plan anual de capacitación + matriz de riesgo operativo y matriz de procesos críticos)</t>
  </si>
  <si>
    <t>Sin iniciar</t>
  </si>
  <si>
    <t>Formación</t>
  </si>
  <si>
    <t>Biblioteca Especializada</t>
  </si>
  <si>
    <t>FOR-BE1</t>
  </si>
  <si>
    <t>Información</t>
  </si>
  <si>
    <t>INSTRUMENTOS DE CONTROL DE ACCESO REMOTO RECURSOS BIBLIOGRÁFICOS ELECTRÓNICOS</t>
  </si>
  <si>
    <t>F_Evento_Externo</t>
  </si>
  <si>
    <t>pérdida de confidencialidad</t>
  </si>
  <si>
    <t>Acceso inadecuado a la información por parte de personal no autorizado</t>
  </si>
  <si>
    <t>Formato compartido de manera inadecuada</t>
  </si>
  <si>
    <t xml:space="preserve">Número de horas de servicio </t>
  </si>
  <si>
    <t>Pérdida de Información crítica del ICC recuperable pero que ocasiona retrasos significativos en las labores</t>
  </si>
  <si>
    <t>Baja</t>
  </si>
  <si>
    <t>Moderado</t>
  </si>
  <si>
    <t>1. Controles tecnológicos. permisos de acceso en el repositorio de Biblioteca Especializada</t>
  </si>
  <si>
    <t>Muy Baja</t>
  </si>
  <si>
    <t>1. Consultar si existe un backup de información del formato: Control de claves de acceso remoto EZ-Proxy.
2. Validar la periodicidad de las copias (historial) del formato: Control de claves de acceso remoto EZ-Proxy.</t>
  </si>
  <si>
    <t>FOR-BE2</t>
  </si>
  <si>
    <t>Software</t>
  </si>
  <si>
    <t>KOAH</t>
  </si>
  <si>
    <t>F_Tecnología</t>
  </si>
  <si>
    <t>Vandalismo</t>
  </si>
  <si>
    <t>Ausencia del Sistema de Información KOAH</t>
  </si>
  <si>
    <t>Interrupción de las operaciones del ICC por más de 72 horas</t>
  </si>
  <si>
    <t>Catastrófico</t>
  </si>
  <si>
    <t>1. Monitoreo de los canales de conectividad</t>
  </si>
  <si>
    <t>ALTO</t>
  </si>
  <si>
    <t>1. Medir la capacidad del canal de respaldo contratado para contingencia</t>
  </si>
  <si>
    <t>FOR-BE3</t>
  </si>
  <si>
    <t>Servicios</t>
  </si>
  <si>
    <t>Atención al ciudadano en general</t>
  </si>
  <si>
    <t>Reputacional</t>
  </si>
  <si>
    <t>Afecta la imagen del ICC con algunos usuarios de relevancia frente al logro de los objetivos</t>
  </si>
  <si>
    <t>1. Apoyo del personal en teletrabajo y en sede con conectividad para consulta del KOAH</t>
  </si>
  <si>
    <t>Correctivo</t>
  </si>
  <si>
    <t>Muy Alta</t>
  </si>
  <si>
    <t>Direccionamiento estratégico</t>
  </si>
  <si>
    <t>Oficina Dirección General</t>
  </si>
  <si>
    <t>DIR-DG1</t>
  </si>
  <si>
    <t>Aplicativo PQRSDF</t>
  </si>
  <si>
    <t>Recursos legales y reputacionales por incumplimiento en tiempos de respuesta</t>
  </si>
  <si>
    <t>Gestión de bienes y servicios</t>
  </si>
  <si>
    <t>R.Físicos</t>
  </si>
  <si>
    <t>GBS-RF1</t>
  </si>
  <si>
    <t>Hardware</t>
  </si>
  <si>
    <t xml:space="preserve">Cámaras </t>
  </si>
  <si>
    <t>Cambios en la empresa de vigilancia afectando el monitoreo.</t>
  </si>
  <si>
    <t>Ausencia de presupuesto para adquisiciones de cámaras</t>
  </si>
  <si>
    <t>Número de procesos disciplinarios</t>
  </si>
  <si>
    <t>Interrupción de las operaciones del ICC menor a 5 horas.</t>
  </si>
  <si>
    <t>Leve</t>
  </si>
  <si>
    <t>1. Revisión de funcionamiento de cámaras
2. Retiro de DD de DVR para custodia de la información (3 meses)
3. Custodia de la información en linea (cámaras del ICC)</t>
  </si>
  <si>
    <t>1. Recursos Físicos
2. Recursos Fisicos - TIC - Oficial de Seguridad</t>
  </si>
  <si>
    <t>GBS-RF2</t>
  </si>
  <si>
    <t>Equipos de Computo</t>
  </si>
  <si>
    <t>Obsolescencia Técnologica
fallas tecnológicas</t>
  </si>
  <si>
    <t>Media</t>
  </si>
  <si>
    <t>GBS-RF3</t>
  </si>
  <si>
    <t>Websafi</t>
  </si>
  <si>
    <t>Fallas de conectividad</t>
  </si>
  <si>
    <t>Investigación</t>
  </si>
  <si>
    <t>Grupo de Investigaciones Académicas</t>
  </si>
  <si>
    <t>INV-IA1</t>
  </si>
  <si>
    <t>Actas (ACTAS DE COMITÉ DE INVESTIGACIÓN y ACTAS DE COMITÉ DE ÉTICA DE INVESTIGACIÓN)</t>
  </si>
  <si>
    <t>Personal Externo al ICC</t>
  </si>
  <si>
    <t>Prsonal Interno del ICC</t>
  </si>
  <si>
    <t>Número de publicaciones</t>
  </si>
  <si>
    <t>Afecta la imagen del ICC a nivel nacional, con efecto publicitario sostenible a nivel país</t>
  </si>
  <si>
    <t>1. Realizar los comités de investigación con los miembros estipulados en la resolución.
2. Información de las actas es editado solo por el personal autotrizado
3. El documento final de las actas no se encuentra en formato editable cuando se comparte con el personal autorizado
4. El almacenamiento de la información se realiza en el Onedrive de Investigaciones
5. Realizar el almacenamiento de la información teniendo en cuenta la codificación de la TRD vigente.
6. Establecer agenda rigurosa para el comite de investigación. Puntos, voceros, documentos asociados, resultados esperados.</t>
  </si>
  <si>
    <t>1. Revisar los permisos otorgados en el OneDrive</t>
  </si>
  <si>
    <t>INV-IA2</t>
  </si>
  <si>
    <t>PROYECTOS DE INVESTIGACIÓN APROBADOS</t>
  </si>
  <si>
    <t xml:space="preserve">Falla de conectividad
</t>
  </si>
  <si>
    <t>Número de sesiones del comité editorial</t>
  </si>
  <si>
    <t>Apropiación social del conocimiento y del patrimonio</t>
  </si>
  <si>
    <t>Grupo de Sello Editorial</t>
  </si>
  <si>
    <t>ASCP-SE1</t>
  </si>
  <si>
    <t>Actas (Actas de Comité Editorial)</t>
  </si>
  <si>
    <t>Número de ordenes de producción</t>
  </si>
  <si>
    <t>1. Impresión de las actas de manera de inmediata luego de su desarrollo.</t>
  </si>
  <si>
    <t>1. cambio de las guardas de los archivadores para custodia de la información física.
2. traslado de los archivadores a las oficinas de las auxiliares administrativas
3. Ubicación de la información física en los archivadores</t>
  </si>
  <si>
    <t>1. Recursos Físicos  
2. Recursos Físicos (traslado)
2. SG-SST (viabilidad del espacio físico)
2. TIC (Posibilidad de movimiento de puntos de red)
3. Sello editorial</t>
  </si>
  <si>
    <t>ASCP-SE2</t>
  </si>
  <si>
    <t>INSTRUMENTOS DE CONTROL</t>
  </si>
  <si>
    <t>Fuga de información</t>
  </si>
  <si>
    <t>Error Humano</t>
  </si>
  <si>
    <t>Número de informes de evaluación elaborados por los auditores</t>
  </si>
  <si>
    <t xml:space="preserve">1. Custodia en el repositorio de Sello Editorial
</t>
  </si>
  <si>
    <t>1. Solicitar concepto a Gestión Documental, respecto a la custodia física de la información que se encuentra en la serie de instrumentos de control. (dependiendo de ese concepto, realizar disposición de la información física)</t>
  </si>
  <si>
    <t>1. Sello editorial</t>
  </si>
  <si>
    <t>Subdirección Administrativa y Financiera</t>
  </si>
  <si>
    <t>DIR-SAF1</t>
  </si>
  <si>
    <t>Actas (Actas consejo directivo)</t>
  </si>
  <si>
    <t>pérdida de integridad</t>
  </si>
  <si>
    <t>Falla accidental de custodia de la información.</t>
  </si>
  <si>
    <t>Número de informes de auditoría</t>
  </si>
  <si>
    <t>Solicitud de aclaraciones por parte de órganos de control u otras entidades por incumplimientos legales y/o contractuales.</t>
  </si>
  <si>
    <t>1. Auxiliar Administrativo Grado 20
2. Gestión Documental</t>
  </si>
  <si>
    <t xml:space="preserve">1. Custodia en carpetas adecuadas de archivo.
2. Transferencia a archivo central en los tiempos adecuados
3. Guia por parte de Gestión Documental en la debida custodia de la información.
</t>
  </si>
  <si>
    <t>BAJO</t>
  </si>
  <si>
    <t>Aceptar</t>
  </si>
  <si>
    <t>1. Validar los mecanismos de seguridad de los archivadores.
2. Garantizar mecanismos de seguridad de los archivadores.
3. Revisión del manejo de archivo</t>
  </si>
  <si>
    <t>1. Auxiliar Administrativo grado 20 (SAF)
2. Recursos Físicos
3. Gestión Documental</t>
  </si>
  <si>
    <t>DIR-SAF2</t>
  </si>
  <si>
    <t>Falla de Microsoft365</t>
  </si>
  <si>
    <t>Falla conectividad
Límite de caracteres en la creación de carpetas</t>
  </si>
  <si>
    <t>Número de informes externos</t>
  </si>
  <si>
    <t xml:space="preserve">1. Canal de redundancia
</t>
  </si>
  <si>
    <t>1. Monitoreo de los controles existentes</t>
  </si>
  <si>
    <t>DIR-SAF3</t>
  </si>
  <si>
    <t>SCE-Logic Monitor</t>
  </si>
  <si>
    <t>Indisponibilidad de la versión reciente por parte del proveedor</t>
  </si>
  <si>
    <t>Actualización del software en los equipos del ICC.</t>
  </si>
  <si>
    <t>Número de documentos</t>
  </si>
  <si>
    <t>Interrupción de las operaciones del ICC entre 12 y 23 horas</t>
  </si>
  <si>
    <t>1. Revisión de la versión mas reciente del software.
2. Revisión si existen actualizaciones del software por parte del usuario
3. Actualización del software de acuerdo a las especificaciones</t>
  </si>
  <si>
    <t>1.(Validar los estados de la actualización, validar si el SO es el adecuado para la actualización solicitada del Software, tiempos de atención)</t>
  </si>
  <si>
    <t>Epass 2003</t>
  </si>
  <si>
    <t>Número de transferencias</t>
  </si>
  <si>
    <t>1. Reinstalar el software</t>
  </si>
  <si>
    <t>1. Tickets de reinstalación del software para uso del SIIF Nación</t>
  </si>
  <si>
    <t>Adquisiciones</t>
  </si>
  <si>
    <t>Gestión Contractual</t>
  </si>
  <si>
    <t>ADQ-GC1</t>
  </si>
  <si>
    <t>Actas (Comité de Defensa)</t>
  </si>
  <si>
    <t>Afecta la imagen del ICC con efecto publicitario sostenido a nivel de sector administrativo, nivel departamental o municipal</t>
  </si>
  <si>
    <t xml:space="preserve">1. Custodia en el repositorio de G.Contractual
2. Archivador físico con llave
</t>
  </si>
  <si>
    <t>1. Validar y gestionar los accesos al repositorio solo al personal autorizado. (OneDrive)</t>
  </si>
  <si>
    <t>ASCP-SE3</t>
  </si>
  <si>
    <t xml:space="preserve"> PRESTACIÓN DE SERVICIOS EDITORIALES</t>
  </si>
  <si>
    <t>Acceso a personal no autorizado</t>
  </si>
  <si>
    <t>Horas de servicio del formulario PQRSD</t>
  </si>
  <si>
    <t>ASCP-SE4</t>
  </si>
  <si>
    <t>PROYECTOS (Proyectos editoriales publicados y no publicados)</t>
  </si>
  <si>
    <t>Cantidad de peticiones de los ciudadanos y funcionarios</t>
  </si>
  <si>
    <t>1. Validar y gestionar los accesos al repositorio solo al personal autorizado. (OneDrive)
2. Desarrollo de un backup de información externo al repositorio (mensual)</t>
  </si>
  <si>
    <t>Control Disciplinario</t>
  </si>
  <si>
    <t>Control Interno Disciplinario</t>
  </si>
  <si>
    <t>CD-CDI1</t>
  </si>
  <si>
    <t>PROCESOS (EXPEDIENTES DISCIPLINARIOS )</t>
  </si>
  <si>
    <t xml:space="preserve">Filtración indebida de la información a personas que no son sujetos procesales en el expediente disciplinario </t>
  </si>
  <si>
    <t>1. Mantener en custodia bajo llave los expedientes disciplinarios
2. Limitar el acceso a la información solo al profesional encargado</t>
  </si>
  <si>
    <t>1. Validar y gestionar los accesos al repositorio solo al personal autorizado. (OneDrive y carpeta de backup)</t>
  </si>
  <si>
    <t>1. Control Interno Disciplinario</t>
  </si>
  <si>
    <t>Información y comunicación</t>
  </si>
  <si>
    <t>Grupo de TI</t>
  </si>
  <si>
    <t>INF-GTI1</t>
  </si>
  <si>
    <t>Switches</t>
  </si>
  <si>
    <t>Desgaste por uso / Obsolescencia</t>
  </si>
  <si>
    <t xml:space="preserve">
fallas tecnológicas</t>
  </si>
  <si>
    <t>Número de investigaciones</t>
  </si>
  <si>
    <t>1. Contrato de garantías con proveedor
2. Switches en stock para respaldo
3. Backup de la configuración de los switches (quincenal)</t>
  </si>
  <si>
    <t xml:space="preserve">1. Realizar mantenimiento preventivo (lógico y físico)
2. Continuar con actividades de backup.
</t>
  </si>
  <si>
    <t>INF-GTI2</t>
  </si>
  <si>
    <t>Aire acondicionado</t>
  </si>
  <si>
    <t>Sin control</t>
  </si>
  <si>
    <t xml:space="preserve">1. Realizar la contratación del mantenimiento preventivo y correctivo de AA
</t>
  </si>
  <si>
    <t>INF-GTI3</t>
  </si>
  <si>
    <t>Equipos de cómputo</t>
  </si>
  <si>
    <t>Número de comodatos</t>
  </si>
  <si>
    <t>1. Disponibilidad de Portatiles
2. Mantenimientos preventivos semestrales
3. Garantias con el proveedor</t>
  </si>
  <si>
    <t>1. Proceso de adquisición de equipos de cómputo</t>
  </si>
  <si>
    <t>INF-GTI4</t>
  </si>
  <si>
    <t>Conectividad</t>
  </si>
  <si>
    <t>Fallas electricas
fallas de Firewall
fallas de Router</t>
  </si>
  <si>
    <t>Carpeta por exposición</t>
  </si>
  <si>
    <t>1. Respaldo de conectividad: fibra y antena</t>
  </si>
  <si>
    <t>Reducir (compartir)</t>
  </si>
  <si>
    <t>1, Monitoreo de los canales de internet. Principal y respaldo (mensual)</t>
  </si>
  <si>
    <t>INF-GTI5</t>
  </si>
  <si>
    <t>Página web</t>
  </si>
  <si>
    <t>1. Backup de los servidores
2. Sistema de IDS/IPS (Firewall de Azure)</t>
  </si>
  <si>
    <t>1. Solicitar mayor presupuesto para TI, con el objeto de obtener una maquina de respaldo para réplica de los servicios (pagina web, intranet, micrositios)</t>
  </si>
  <si>
    <t>Contabilidad y presupuesto</t>
  </si>
  <si>
    <t>Grupo de Gestión Financiera</t>
  </si>
  <si>
    <t>CP-GF1</t>
  </si>
  <si>
    <t>PROGRAMAS (PAC)</t>
  </si>
  <si>
    <t xml:space="preserve">Indisponibilidad del SIIF NACION
</t>
  </si>
  <si>
    <t>Falta de información por parte de las áreas a quien se les solicita
No presentación de los documentos de cobro con oportunidad.</t>
  </si>
  <si>
    <t>Generación de reprocesos y/o retrasos que impactan la información a nivel de todo el ICC</t>
  </si>
  <si>
    <t>1. Profesional Especializado grado 13 (tesorería)
2 y 3. Técnico Administrativo grado 7
4. Profesional especializado grado 17</t>
  </si>
  <si>
    <t xml:space="preserve">1. Correo electrónico solicitando la información para programar.
2. Acceso a carpeta de OneDrive para cargar documentos y facturas.
3. Calendario de fechas para cargue de PAC
4. Revisión de la solicitud del PAC.
</t>
  </si>
  <si>
    <t>1. Solicitar perfil de consulta para la profesional de Tesorerìa con el objeto de revisar los valores definitivos para gastos de personal para aplazamientos de PAC.
2. Solicitar proyección trimestral de las novedades de nómina al grupo de Talento Humano
3. Modificación del cronograma anual de gastos de personal.
4. Actualización del procedimiento de pagos y tesorería</t>
  </si>
  <si>
    <t>1. Gestión Financiera, TH
2. Gestión Financiera
3. Gestión Financiera
4. Gestión Financiera</t>
  </si>
  <si>
    <t>FACULTAD SEMINARIO ANDRÉS BELLO</t>
  </si>
  <si>
    <t>F-SAB1</t>
  </si>
  <si>
    <t>Academusoft</t>
  </si>
  <si>
    <t>1. Migración a nube.</t>
  </si>
  <si>
    <t>Grupo de Planeación y Relacionamiento con el Ciudadano</t>
  </si>
  <si>
    <t>DIR-GP1</t>
  </si>
  <si>
    <t>ACTAS (ACTAS DE COMITÉ INSTITUCIONAL DE GESTIÓN Y DESEMPEÑO)</t>
  </si>
  <si>
    <t>Empleados de la Entidad</t>
  </si>
  <si>
    <t>Manipulación y/o eliminación accidental
Manipulación y/o incidental</t>
  </si>
  <si>
    <t>Número de sesiones de consejo directivo</t>
  </si>
  <si>
    <t>Generación de  reprocesos y/o retrasos que impactan la información a nivel de algunos procesos del ICC</t>
  </si>
  <si>
    <t xml:space="preserve">1. Auxiliar Administrativo Grado 20
2. Auxiliar Administrativo Grado 20
</t>
  </si>
  <si>
    <t>1. Impresión del acta, firmas, escaneo y cargue en PDF.
2. Se comparte la ruta del acta a los interesados con medidas de control de acceso.</t>
  </si>
  <si>
    <t>1. Revisar los accesos al compartir el archivo 
2. Indicar fechas de caducidad de los archivos compartidos en modo consulta
3. Documentar lineamiento general de control de actas</t>
  </si>
  <si>
    <t>1. Grupo de Planeación
2. Grupo de Planeación
3. Grupo de Planeación</t>
  </si>
  <si>
    <t>PLANES</t>
  </si>
  <si>
    <t>Modificación no detectada que afecta la autenticidad del Plan</t>
  </si>
  <si>
    <t>1. Profesional Universitario grado 8</t>
  </si>
  <si>
    <t xml:space="preserve">1. Asignación de permisos de acceso de modificación al personal autorizado (Gestión Financiera y Planeación)
</t>
  </si>
  <si>
    <t>1. Realizar ajustes en el procedimiento DIR-P-4: Formulación y seguimiento al plan anual de adquisiciones (Condiciones Generales establecer el control de acceso y en descripción del procedimiento adicionar la etapa de archivo de versiones generadas)
2. Proteger mediante contraseña los rangos de acuerdo a la responsabilidad de cada grupo dentro del plan
3. Solicitar al grupo de Tecnologias la adquisición del SW para manejo del Plan Anual de Adquisiciones.</t>
  </si>
  <si>
    <t>CP-GF2</t>
  </si>
  <si>
    <t>Web SAFI</t>
  </si>
  <si>
    <t>Vandalismo - Obsolescencia del sistema</t>
  </si>
  <si>
    <t>Fallas de conectividad
Fallas técnicas (no es robusto para las actividades)
Aplicativo Onpremise.</t>
  </si>
  <si>
    <t>CP-GF3</t>
  </si>
  <si>
    <t>SIIF Nación</t>
  </si>
  <si>
    <t>Fallas externas asociadas al ministerio de hacienda</t>
  </si>
  <si>
    <t>Número de planes de mejoramiento suscritos</t>
  </si>
  <si>
    <t>1. Establecimiento de horario en fechas críticas para ejecución de actividades por tipo de transacción.
2. Correos electrónicos informando la indisiponibilidad del sistema ´por actividades de mantenimiento preventivo.
3. Teletrabajo</t>
  </si>
  <si>
    <t xml:space="preserve">1.No existen planes de reducción por ser un software externo.
</t>
  </si>
  <si>
    <t xml:space="preserve">1. Ministerio de Hacienda
</t>
  </si>
  <si>
    <t>Subdirección Académica (Equipo de Comunicaciones)</t>
  </si>
  <si>
    <t>INF-COM1</t>
  </si>
  <si>
    <t>Flickr Caro y Cuervo</t>
  </si>
  <si>
    <t>F_Procesos</t>
  </si>
  <si>
    <t>Eliminación de la información que se tiene custodiada en el software</t>
  </si>
  <si>
    <t xml:space="preserve">Falta del pago de pago de la suscripción anual
</t>
  </si>
  <si>
    <t>Número de solicitudes de consulta de un tipo documental</t>
  </si>
  <si>
    <t>1. Equipo de Comunicaciones.</t>
  </si>
  <si>
    <t>1. Tabla de suscripciones para funcionamiento del equipo de comunicaciones y remisión de la información a la Subdirección Acádémica
2. Backup de la información de las fotos cargadas en Flickr Caro y Cuervo</t>
  </si>
  <si>
    <t>1. Generar recordatorios a la Subdirección Acádemica para garantizar el pago del servicio.
2. Consultar al encargado de la aplicación si se realiza backup de la información.
3. En caso de no tener el backup solicitar a TIC un espacio en repositorio de comunicaciones. En caso de tenerlo, evidencia de la ruta en donde se encuentra el backup.</t>
  </si>
  <si>
    <t>Subdirección Académica (Equipo de Gestión de Museos)</t>
  </si>
  <si>
    <t>ASCP-MUS1</t>
  </si>
  <si>
    <t>FileMaker</t>
  </si>
  <si>
    <t>Número de veces que se sacan fotocopias de algún tipo documental de la historia laboral.</t>
  </si>
  <si>
    <t>1. Registrar la información de manera local (servidor ubicado en Casa Cuervo)</t>
  </si>
  <si>
    <t>1. Solicitar a TIC sobre el estado de backup de la información de FileMaker
2. Remitir desde TIC la información solicitada respecto al backup de información de Filemaker</t>
  </si>
  <si>
    <t>fallas de conectividad</t>
  </si>
  <si>
    <t>Número de días calendario</t>
  </si>
  <si>
    <t>1. Respuesta de las PQRSDF a traves del correo: contactenos@caroycuervo.gov.co
2. Implementación de Integrito como canal de orientación al usuario.
3. Migración del aplicativo a la infraestructura en nube Azure</t>
  </si>
  <si>
    <t>SIG - Sistema integrado de gestión</t>
  </si>
  <si>
    <t>1. Migración del aplicativo a la infraestructura en nube Azure
2. Acceso mediante la Intranet.</t>
  </si>
  <si>
    <t>1. Realizar una carpeta (replica) desde el OneDrive de Calidad, para consulta de los documentos finales del SIG
2. Ubicar en el repositorio (replica) las versiones finales de los documentos
3. Realizar ajustes al procedimiento MEJ-P-1: Elaboración y control de documentos (indicar la copia que se debe realizar de los documentos finales en la carpeta réplica ubicada en el OneDrive de Calidad)</t>
  </si>
  <si>
    <t>DIT-GP5</t>
  </si>
  <si>
    <t>Portal web ICC (Sección de transparencia)</t>
  </si>
  <si>
    <t>Imcumplimiento normativo que puede derivar sanciones al ICC</t>
  </si>
  <si>
    <t>Ausencia de personal que realice la publicación de la información de manera oportuna</t>
  </si>
  <si>
    <t>Número de casos reportados en la mesa de ayuda.</t>
  </si>
  <si>
    <t>1. Cargue de la información en la sección de transparencia por el coordinador del grupo de las TIC, en ausencia del contratista WebMaster. (inicio y final de la vigencia)</t>
  </si>
  <si>
    <t>1. Planeación</t>
  </si>
  <si>
    <t>MONITOREO Y SEGUIMIENTO RIESGO SEGURIDAD DIGITAL</t>
  </si>
  <si>
    <t>Trimestre xx de 2024</t>
  </si>
  <si>
    <t>6. MONITOREO DE LA ADMINISTRACIÓN DEL RIESGO</t>
  </si>
  <si>
    <t>7. SEGUMIENTO A LA ADMINISTRACIÓN DEL RIESGO - UCI</t>
  </si>
  <si>
    <t>6.1 Monitoreo del riesgo</t>
  </si>
  <si>
    <t>6.2 Monitoreo del control</t>
  </si>
  <si>
    <t>6.3 Monitoreo del plan de reducción</t>
  </si>
  <si>
    <t>7.1 Riesgo</t>
  </si>
  <si>
    <t>7.2 Controles</t>
  </si>
  <si>
    <t>7.3 Conclusiones</t>
  </si>
  <si>
    <t>ID_C</t>
  </si>
  <si>
    <t>Código riesgo</t>
  </si>
  <si>
    <t>Código control</t>
  </si>
  <si>
    <t>Fecha de monitoreo</t>
  </si>
  <si>
    <t>Hubo materialización del riesgo</t>
  </si>
  <si>
    <t>Enlace al reporte de materialización</t>
  </si>
  <si>
    <t>Cambios en la identificación y/o análisis del riesgo</t>
  </si>
  <si>
    <t>Enlace a la evidencia de ejecución del control</t>
  </si>
  <si>
    <t>Cambios en el diseño del control</t>
  </si>
  <si>
    <t>Observaciones sobre el control</t>
  </si>
  <si>
    <t>Enlace a la evidencia de implementación de la actividad</t>
  </si>
  <si>
    <t>Observaciones sobre el plan</t>
  </si>
  <si>
    <t>¿La identificación del riesgo es adecuada?</t>
  </si>
  <si>
    <t>¿El análisis de causas es consistente?</t>
  </si>
  <si>
    <t>¿El diseño del control es adecuado?</t>
  </si>
  <si>
    <t>¿Se evidencia ejecución del control?</t>
  </si>
  <si>
    <t>¿El plan de reducción  ha permitido mejorar el control?</t>
  </si>
  <si>
    <t>Observaciones del seguimiento</t>
  </si>
  <si>
    <t>FICHA DEL RIESGO</t>
  </si>
  <si>
    <t>Código: MEJ-F-12
Versión: 1.0
Fecha: 06/12/2023</t>
  </si>
  <si>
    <t>3.4 Eficiencia teórica controles</t>
  </si>
  <si>
    <t>Descriptor Factor</t>
  </si>
  <si>
    <t>Pi %</t>
  </si>
  <si>
    <t>Ii %</t>
  </si>
  <si>
    <t>Posición severidad i</t>
  </si>
  <si>
    <t>Eficiencia teórica probabilidad</t>
  </si>
  <si>
    <t>Eficiencia teórica impacto</t>
  </si>
  <si>
    <t>Pr %</t>
  </si>
  <si>
    <t>Ir %</t>
  </si>
  <si>
    <t>Posición severidad r</t>
  </si>
  <si>
    <t>COM-SD1</t>
  </si>
  <si>
    <t>1.3 Despliegue vulnerabilidades</t>
  </si>
  <si>
    <t>3.3 Atributos informativos</t>
  </si>
  <si>
    <t>4.1 Efecto de los controles sobre el riesgo</t>
  </si>
  <si>
    <t>Complemento</t>
  </si>
  <si>
    <t>Documentación</t>
  </si>
  <si>
    <t>Evidencia</t>
  </si>
  <si>
    <t>Actividad fortalecmiento</t>
  </si>
  <si>
    <t>Peso</t>
  </si>
  <si>
    <t>Efecto</t>
  </si>
  <si>
    <t>Cambio P %</t>
  </si>
  <si>
    <t>Cambio I %</t>
  </si>
  <si>
    <t>Firma</t>
  </si>
  <si>
    <t>Nombre del revisor:</t>
  </si>
  <si>
    <t>Nombre del aprobador:</t>
  </si>
  <si>
    <t>MAPA CONTROL SEGURIDAD DIGITAL</t>
  </si>
  <si>
    <t>Manual (lista)</t>
  </si>
  <si>
    <t>Manual (abierto)</t>
  </si>
  <si>
    <t>Desconocimiento de la etapa previa de suscripción de convenios por lo que no se atiende el conducto regular para la gestión de los convenios.</t>
  </si>
  <si>
    <t>Dirección general</t>
  </si>
  <si>
    <t>Verificar que el convenio cuente con la revisión previa del proceso de gestión contractual y de las Subdirecciones de la Entidad.</t>
  </si>
  <si>
    <t>A través de la revisión del mismo convenio donde en la parte final se encuentran los vistos buenos de gestión contractual y las subdirecciones.</t>
  </si>
  <si>
    <t>Socialización dirigida a las dependencias, grupos y equipos de trabajo del ¿cómo hacer estudios y documentos previos?</t>
  </si>
  <si>
    <t>Profesionales del Grupo de Gestión contractual</t>
  </si>
  <si>
    <t>Frecuencia de la actividad (veces por año)</t>
  </si>
  <si>
    <t>Probabilidad</t>
  </si>
  <si>
    <t>Tablas de atributos de para el diseño del control</t>
  </si>
  <si>
    <t>La actividad que conlleva el riesgo se ejecuta…</t>
  </si>
  <si>
    <t>Cuantitativa</t>
  </si>
  <si>
    <t>Cualitativa</t>
  </si>
  <si>
    <t>Mínimo</t>
  </si>
  <si>
    <t>Máximo</t>
  </si>
  <si>
    <t>Atributos de eficiencia</t>
  </si>
  <si>
    <t>Ejecución</t>
  </si>
  <si>
    <t>Tipología</t>
  </si>
  <si>
    <t>Descripción</t>
  </si>
  <si>
    <t>Va hacia las causas del riesgo, aseguran el resultado final esperado.</t>
  </si>
  <si>
    <t>Detectivo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</si>
  <si>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</si>
  <si>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</si>
  <si>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</si>
  <si>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</si>
  <si>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Cuantitativo</t>
  </si>
  <si>
    <t>Cualitativo</t>
  </si>
  <si>
    <t>Momento</t>
  </si>
  <si>
    <t>Forma</t>
  </si>
  <si>
    <t>Atributos</t>
  </si>
  <si>
    <t>Peso total</t>
  </si>
  <si>
    <t xml:space="preserve">Confidencialidad </t>
  </si>
  <si>
    <t>Integridad</t>
  </si>
  <si>
    <t>Disponibilidad</t>
  </si>
  <si>
    <t>Cumplimiento</t>
  </si>
  <si>
    <t>El riesgo…</t>
  </si>
  <si>
    <t xml:space="preserve">Pérdida de Información crítica del ICC recuperable pero que no ocasiona retrasos en las labores </t>
  </si>
  <si>
    <t>Generación de  reprocesos y/o retrasos que impactan la información a nivel de algunos equipos del ICC</t>
  </si>
  <si>
    <t>Apertura de procesos jurídicos, investigaciones o llamados de atención.</t>
  </si>
  <si>
    <t>Afecta la imagen de algún área del ICC</t>
  </si>
  <si>
    <t xml:space="preserve">Pérdida de Información crítica del ICC recuperable pero que ocasiona retrasos leves en las labores </t>
  </si>
  <si>
    <t>Generación de  reprocesos y/o retrasos que impactan la información a nivel de algunos grupos del ICC</t>
  </si>
  <si>
    <t>Interrupción de las operaciones del ICC entre 6 y 11 horas</t>
  </si>
  <si>
    <t>Afecta la imagen de del ICC internamente, de conocimiento general, nivel interno, de junta directiva y accionistas y/o de proveedores</t>
  </si>
  <si>
    <t>Sanciones económicas definitivas impuestas por órganos de control u otras entidades por Incumplimientos legales y/o contractuales.</t>
  </si>
  <si>
    <t>Pérdida de Información crítica del ICC de dificil recuperación</t>
  </si>
  <si>
    <t>Intervención del ICC por parte de órganos de control u otras entidades por Incumplimientos legales y/o contractuales.</t>
  </si>
  <si>
    <t>Pérdida de Información crítica del ICC que no se puede recuperar</t>
  </si>
  <si>
    <t>Generación de reprocesos y/o retrasos que impactan la información a nivel del Ministerio de Cultura</t>
  </si>
  <si>
    <t>Sanciones que impliquen cierre de instalaciones por incumplimiento de las normas establecidas / operaciones / obligaciones contractuales.</t>
  </si>
  <si>
    <t>Concatenado</t>
  </si>
  <si>
    <t>Severidad Posición</t>
  </si>
  <si>
    <t>Severidad Nivel</t>
  </si>
  <si>
    <t>Extremo</t>
  </si>
  <si>
    <t>Matriz de calor, comparación riesgo Inherente</t>
  </si>
  <si>
    <t>MUY ALTA</t>
  </si>
  <si>
    <t>DIR-SAF4</t>
  </si>
  <si>
    <t>INF-GTI1, INF-GTI2, F-SAB1, CP-GF3</t>
  </si>
  <si>
    <t>ALTA</t>
  </si>
  <si>
    <t>DIT-GP3, GBS-RF2</t>
  </si>
  <si>
    <t>FOR-BE3, DIR-DG1</t>
  </si>
  <si>
    <t>GTH-TH1, ASCP-SE4, INF-GTI3,  ASCP-MUS1</t>
  </si>
  <si>
    <t>FOR-BE2, INF-GTI4, INF-GTI5</t>
  </si>
  <si>
    <t>MEDIA</t>
  </si>
  <si>
    <t>ASCP-SE2, DIT-GP4</t>
  </si>
  <si>
    <t>BAJA</t>
  </si>
  <si>
    <t>FOR-BE1, CI-CID1, DIR-GP1</t>
  </si>
  <si>
    <t>ASCP-SE1, ASCP-SE3, CP-GF1, CP-GF2</t>
  </si>
  <si>
    <t>Alto</t>
  </si>
  <si>
    <t>MUY BAJA</t>
  </si>
  <si>
    <t>LEVE</t>
  </si>
  <si>
    <t>MENOR</t>
  </si>
  <si>
    <t>MAYOR</t>
  </si>
  <si>
    <t>CATASTRÓFICO</t>
  </si>
  <si>
    <t>Nivel de SEVERIDAD</t>
  </si>
  <si>
    <t>Matriz de calor, comparación riesgo Residual</t>
  </si>
  <si>
    <t>INF-GTI1, CP-GF3,  F-SAB1</t>
  </si>
  <si>
    <t>GBS-RF1, DIT-GP3</t>
  </si>
  <si>
    <t>GTH-TH1, FOR-BE3, FOR-BE3, DIR-DG1</t>
  </si>
  <si>
    <t>ASCP-SE4, INF-GTI3, ASCP-MUS1</t>
  </si>
  <si>
    <t xml:space="preserve"> INF-GTI4, INF-GTI5, FOR-BE2</t>
  </si>
  <si>
    <t>ASCP-SE2, DIT-GP4, GBS-RF2</t>
  </si>
  <si>
    <t>DIR-SAF2, DIR-SAF1</t>
  </si>
  <si>
    <t>INV-IA1, CI-CID1, DIR-GP1</t>
  </si>
  <si>
    <t>ASCP-SE1, ASCP-SE3, CP-GF1, INF-COM1, CP-GF2</t>
  </si>
  <si>
    <t>FOR-BE1, ADQ-GC1</t>
  </si>
  <si>
    <t>Bajo</t>
  </si>
  <si>
    <t>Priorización de las combinaciones</t>
  </si>
  <si>
    <t>Producto de  multiplicar probabilidad e impacto</t>
  </si>
  <si>
    <t>Atributos informativos</t>
  </si>
  <si>
    <t>Características</t>
  </si>
  <si>
    <t>Opciones</t>
  </si>
  <si>
    <t>Diligenciamiento</t>
  </si>
  <si>
    <t>Controles que están documentados en el proceso, ya sea en manuales, procedimientos, flujogramas o cualquier otro documento propio del proceso.</t>
  </si>
  <si>
    <t>Documentado</t>
  </si>
  <si>
    <t>Código del documento en el SIG</t>
  </si>
  <si>
    <t>Identifica a los controles que pese a que se ejecutan en el proceso no se encuentran documentados en ningún documento propio del proceso</t>
  </si>
  <si>
    <t>Sin documentar</t>
  </si>
  <si>
    <t>Este atributo identifica a los controles que se ejecutan siempre que se realiza la actividad originadora del riesgo.</t>
  </si>
  <si>
    <t>Continua</t>
  </si>
  <si>
    <t>Frecuencia específica o indeterminada</t>
  </si>
  <si>
    <t>Este atributo identifica a los controles que no siempre se ejecutan cuando se realiza la actividad originadora del riesgo</t>
  </si>
  <si>
    <t>Indefinida</t>
  </si>
  <si>
    <t>El control deja un registro que permite evidenciar la ejecución del control</t>
  </si>
  <si>
    <t>Con registro</t>
  </si>
  <si>
    <t>Código de la serie documental</t>
  </si>
  <si>
    <t>El control no deja registro de la ejecución del control</t>
  </si>
  <si>
    <t>Sin registro</t>
  </si>
  <si>
    <t>Min</t>
  </si>
  <si>
    <t>Max</t>
  </si>
  <si>
    <t>SI</t>
  </si>
  <si>
    <t>NO</t>
  </si>
  <si>
    <t>Procesos</t>
  </si>
  <si>
    <t>Tipo activo información</t>
  </si>
  <si>
    <t>Riesgo</t>
  </si>
  <si>
    <t>Diaria</t>
  </si>
  <si>
    <t>Mejoramiento continuo</t>
  </si>
  <si>
    <t>Semanal</t>
  </si>
  <si>
    <t>Quincenal</t>
  </si>
  <si>
    <t>En proceso</t>
  </si>
  <si>
    <t>Intangibles</t>
  </si>
  <si>
    <t>Mensual</t>
  </si>
  <si>
    <t>Terminada</t>
  </si>
  <si>
    <t>Bimestral</t>
  </si>
  <si>
    <t>Vencida</t>
  </si>
  <si>
    <t>Trimestral</t>
  </si>
  <si>
    <t>Alianzas</t>
  </si>
  <si>
    <t>Evaluación independiente</t>
  </si>
  <si>
    <t>Factor</t>
  </si>
  <si>
    <t>Definición</t>
  </si>
  <si>
    <t>Descriptor</t>
  </si>
  <si>
    <t>1.1</t>
  </si>
  <si>
    <t xml:space="preserve">Eventos relacionados con errores en las actividades que deben realizar los servidores de la organización. </t>
  </si>
  <si>
    <t xml:space="preserve">Falta de implementación de procedimientos </t>
  </si>
  <si>
    <t>1.2</t>
  </si>
  <si>
    <t xml:space="preserve">Errores de grabación, autorización </t>
  </si>
  <si>
    <t>1.3</t>
  </si>
  <si>
    <t xml:space="preserve">Errores en cálculos para pagos internos y externos </t>
  </si>
  <si>
    <t>1.4</t>
  </si>
  <si>
    <t>Falta de capacitación, temas relacionados con el personal</t>
  </si>
  <si>
    <t>F_Infraestructura</t>
  </si>
  <si>
    <t>2.1</t>
  </si>
  <si>
    <t xml:space="preserve">Talento humano </t>
  </si>
  <si>
    <t>Incluye seguridad y salud en el trabajo. Se analiza posible dolo e intención frente a la corrupción.</t>
  </si>
  <si>
    <t>Hurto activos</t>
  </si>
  <si>
    <t>2.2</t>
  </si>
  <si>
    <t>Comportamientos no éticos de los empleados</t>
  </si>
  <si>
    <t>2.3</t>
  </si>
  <si>
    <t>Fraude interno (corrupción, soborno)</t>
  </si>
  <si>
    <t>3.1</t>
  </si>
  <si>
    <t xml:space="preserve">Tecnología </t>
  </si>
  <si>
    <t xml:space="preserve">Eventos relacionados con la infraestructura tecnológica de la entidad. </t>
  </si>
  <si>
    <t>Daño de equipos</t>
  </si>
  <si>
    <t>3.2</t>
  </si>
  <si>
    <t>Caída de aplicaciones</t>
  </si>
  <si>
    <t>3.3</t>
  </si>
  <si>
    <t>Caída de redes</t>
  </si>
  <si>
    <t>3.4</t>
  </si>
  <si>
    <t>Errores en programas</t>
  </si>
  <si>
    <t>4.1</t>
  </si>
  <si>
    <t>Infraestructura</t>
  </si>
  <si>
    <t xml:space="preserve">Eventos relacionados con la infraestructura física de la 
entidad. </t>
  </si>
  <si>
    <t>Derrumbes</t>
  </si>
  <si>
    <t>4.2</t>
  </si>
  <si>
    <t>Incendios</t>
  </si>
  <si>
    <t>4.3</t>
  </si>
  <si>
    <t>Inundaciones</t>
  </si>
  <si>
    <t>4.4</t>
  </si>
  <si>
    <t xml:space="preserve">Eventos relacionados con la infraestructura física de la entidad. </t>
  </si>
  <si>
    <t xml:space="preserve">Daños a activos fijos </t>
  </si>
  <si>
    <t>5.1</t>
  </si>
  <si>
    <t>Evento externo</t>
  </si>
  <si>
    <t xml:space="preserve">Situaciones externas que afectan la entidad. </t>
  </si>
  <si>
    <t xml:space="preserve">Suplantación de identidad </t>
  </si>
  <si>
    <t>5.2</t>
  </si>
  <si>
    <t>Asalto a la oficina</t>
  </si>
  <si>
    <t>5.3</t>
  </si>
  <si>
    <t xml:space="preserve">Atentados, vandalismo, orden público </t>
  </si>
  <si>
    <t>Categoría</t>
  </si>
  <si>
    <t>Daños a activos fijos / eventos externos</t>
  </si>
  <si>
    <t xml:space="preserve">Pérdida por daños o extravíos de los activos fijos por desastres naturales u otros riesgos/eventos externos como atentados, vandalismo, orden público. </t>
  </si>
  <si>
    <t>Daños patrimonio 
público – omisión 
interna</t>
  </si>
  <si>
    <t xml:space="preserve">Pérdidas en las que se produce un deterioro del patrimonio público como resultado de omisiones internas, en este contexto, "omisión interna" hace referencia a la falta de acción, negligencia o incumplimiento de deberes por parte de servidores públicos que conduce a la pérdida de recursos o activos de la entidad. </t>
  </si>
  <si>
    <t>Evitar</t>
  </si>
  <si>
    <t xml:space="preserve">Ejecución y 
administración de 
procesos  </t>
  </si>
  <si>
    <t xml:space="preserve">Pérdidas derivadas de errores en la ejecución y administración de procesos. </t>
  </si>
  <si>
    <t xml:space="preserve">Fallas tecnológicas  </t>
  </si>
  <si>
    <t xml:space="preserve">Errores en hardware, software, telecomunicaciones, interrupción de servicios básicos. </t>
  </si>
  <si>
    <t xml:space="preserve">Fraude externo  </t>
  </si>
  <si>
    <t xml:space="preserve">Pérdida derivada de actos de fraude por personas ajenas a la organización (no participa personal de la entidad).  </t>
  </si>
  <si>
    <t>Fraude interno</t>
  </si>
  <si>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</si>
  <si>
    <t xml:space="preserve">Relaciones laborales  </t>
  </si>
  <si>
    <t>Pérdidas que surgen de acciones contrarias a las leyes o acuerdos de empleo, salud o seguridad, del pago de demandas por daños personales o de discriminación.</t>
  </si>
  <si>
    <t>Usuarios, productos y prácticas</t>
  </si>
  <si>
    <t xml:space="preserve">Fallas negligentes o involuntarias de las obligaciones frente a los usuarios y que impiden satisfacer una obligación profesional frente a estos.  </t>
  </si>
  <si>
    <t>AMENAZAS</t>
  </si>
  <si>
    <t>Personal Externo</t>
  </si>
  <si>
    <t xml:space="preserve">Exceso de confianza </t>
  </si>
  <si>
    <t>Espionaje</t>
  </si>
  <si>
    <t>Robo</t>
  </si>
  <si>
    <t>Sabotaje</t>
  </si>
  <si>
    <t>Actos Criminales</t>
  </si>
  <si>
    <t>Errores de Software</t>
  </si>
  <si>
    <t>Fallas de Hardware</t>
  </si>
  <si>
    <t>Fallas Generales / Daños</t>
  </si>
  <si>
    <t>Pérdida de activos</t>
  </si>
  <si>
    <t>Corrupción de Datos</t>
  </si>
  <si>
    <t xml:space="preserve">Averías en las instalaciones </t>
  </si>
  <si>
    <t>Explosión de Cañerías</t>
  </si>
  <si>
    <t>Interrupción en la cadena de suministros</t>
  </si>
  <si>
    <t>Accidentes Industriales</t>
  </si>
  <si>
    <t>Enfermedades / Epidemias</t>
  </si>
  <si>
    <t>Factores naturales (Terremotos, Huracán, Tsunami, Tornados, Inundación, Anegación,  Tormentas)</t>
  </si>
  <si>
    <t>Sobrecarga eléctrica</t>
  </si>
  <si>
    <t>Fallas en suministro de servicios públicos</t>
  </si>
  <si>
    <t>Contaminación (Mecánica, electromagnética)</t>
  </si>
  <si>
    <t>Corte del suministro eléctrico</t>
  </si>
  <si>
    <t>Condiciones inadecuadas de temperatura o humedad</t>
  </si>
  <si>
    <t>Fallo de servicios de comunicaciones</t>
  </si>
  <si>
    <t>Degradación de los soportes de almacenamiento de la información</t>
  </si>
  <si>
    <t>difusiones electromagnéticas</t>
  </si>
  <si>
    <t>Radiación</t>
  </si>
  <si>
    <t>Fallas de configuración</t>
  </si>
  <si>
    <t>Difusión de software dañino</t>
  </si>
  <si>
    <t>Ingeniería Social</t>
  </si>
  <si>
    <t>Invasión terrorista (Física ó Digital)</t>
  </si>
  <si>
    <t>Acciones Extorsivas</t>
  </si>
  <si>
    <t>Hackeo No Etico</t>
  </si>
  <si>
    <t>Ciber terrorismo</t>
  </si>
  <si>
    <t>SPAM</t>
  </si>
  <si>
    <t>Virus Informático</t>
  </si>
  <si>
    <t>Filtración de Datos - Fuga de información</t>
  </si>
  <si>
    <t>Adquirir compromisos que la Entidad no pueda cumplir o que no tenga un marco jurídico</t>
  </si>
  <si>
    <t xml:space="preserve">caída de los servicios tecnológicos por parte del proveedor del sistema </t>
  </si>
  <si>
    <t xml:space="preserve">Desconocimiento en la instalación, configuración y soporte en el funcionamiento de sistemas </t>
  </si>
  <si>
    <t>Suplantación de sitios web</t>
  </si>
  <si>
    <t>Daño de los medips de almacenamiento</t>
  </si>
  <si>
    <t>modificación no autorizada en la parametrización del software.</t>
  </si>
  <si>
    <t>acceso externo no autorizado a los sistemas de información y/o aplicativos</t>
  </si>
  <si>
    <t>software falso o copiado</t>
  </si>
  <si>
    <t>Seleccione el proceso para visulizar los respectivos riesgos en la matriz de calor</t>
  </si>
  <si>
    <t>Seleccione el código del riesgo que quiere visualizar en la matriz de calor</t>
  </si>
  <si>
    <t>Controles sin cambio en la severidad</t>
  </si>
  <si>
    <t>Falta control</t>
  </si>
  <si>
    <t>(Todas)</t>
  </si>
  <si>
    <t>Posición Severidad i</t>
  </si>
  <si>
    <t>Posición Severidad r</t>
  </si>
  <si>
    <t>Suma de Posición  i</t>
  </si>
  <si>
    <t>Suma de Posición r</t>
  </si>
  <si>
    <t>Suma de Posición i</t>
  </si>
  <si>
    <t>ADM-SD1</t>
  </si>
  <si>
    <t>ADQ-SD-1</t>
  </si>
  <si>
    <t>ALI-SD1</t>
  </si>
  <si>
    <t>ALI-SD2</t>
  </si>
  <si>
    <t>APR-SD1</t>
  </si>
  <si>
    <t>APR-SD2</t>
  </si>
  <si>
    <t>APR-SD3</t>
  </si>
  <si>
    <t>APR-SD4</t>
  </si>
  <si>
    <t>APR-SD5</t>
  </si>
  <si>
    <t>APR-SD6</t>
  </si>
  <si>
    <t>APR-SD7</t>
  </si>
  <si>
    <t>APR-SD8</t>
  </si>
  <si>
    <t>COM-SD10</t>
  </si>
  <si>
    <t>COM-SD11</t>
  </si>
  <si>
    <t>COM-SD12</t>
  </si>
  <si>
    <t>COM-SD13</t>
  </si>
  <si>
    <t>COM-SD14</t>
  </si>
  <si>
    <t>COM-SD15</t>
  </si>
  <si>
    <t>COM-SD2</t>
  </si>
  <si>
    <t>COM-SD3</t>
  </si>
  <si>
    <t>COM-SD4</t>
  </si>
  <si>
    <t>COM-SD5</t>
  </si>
  <si>
    <t>COM-SD6</t>
  </si>
  <si>
    <t>COM-SD7</t>
  </si>
  <si>
    <t>COMSD8</t>
  </si>
  <si>
    <t>COM-SD9</t>
  </si>
  <si>
    <t>DES-SD1</t>
  </si>
  <si>
    <t>DES-SD2</t>
  </si>
  <si>
    <t>DES-SD3</t>
  </si>
  <si>
    <t>DES-SD4</t>
  </si>
  <si>
    <t>DES-SD5</t>
  </si>
  <si>
    <t>DES-SD6</t>
  </si>
  <si>
    <t>DIR-DS7</t>
  </si>
  <si>
    <t>DIR-SD1</t>
  </si>
  <si>
    <t>DIR-SD2</t>
  </si>
  <si>
    <t>DIR-SD3</t>
  </si>
  <si>
    <t>DIR-SD4</t>
  </si>
  <si>
    <t>DIR-SD5</t>
  </si>
  <si>
    <t>DIR-SD-6</t>
  </si>
  <si>
    <t>DIR-SD8</t>
  </si>
  <si>
    <t>DIS-SD1</t>
  </si>
  <si>
    <t>DIS-SD2</t>
  </si>
  <si>
    <t>EVA-SD-1</t>
  </si>
  <si>
    <t>EVA-SD-2</t>
  </si>
  <si>
    <t>EVA-SD3</t>
  </si>
  <si>
    <t>FOR-SD1</t>
  </si>
  <si>
    <t>FOR-SD2</t>
  </si>
  <si>
    <t>INV-SD1</t>
  </si>
  <si>
    <t>INV-SD2</t>
  </si>
  <si>
    <t>INV-SD3</t>
  </si>
  <si>
    <t>INV-SD4</t>
  </si>
  <si>
    <t>INV-SD5</t>
  </si>
  <si>
    <t>INV-SD6</t>
  </si>
  <si>
    <t>INV-SD7</t>
  </si>
  <si>
    <t>INV-SD8</t>
  </si>
  <si>
    <t>MEJ-SD1</t>
  </si>
  <si>
    <t>PRE-SD1</t>
  </si>
  <si>
    <t>VULNERABILIDADES DE LOS ACTIVOS DE INFORMACION</t>
  </si>
  <si>
    <t>Documentos_Información</t>
  </si>
  <si>
    <t>Hardware-Repositorio</t>
  </si>
  <si>
    <t>Personal</t>
  </si>
  <si>
    <t>Software-Repositorio</t>
  </si>
  <si>
    <t>Instalaciones</t>
  </si>
  <si>
    <t>Bases de Datos</t>
  </si>
  <si>
    <t>Componentes_de_red</t>
  </si>
  <si>
    <t>Información de fuente no cifrada</t>
  </si>
  <si>
    <t>Ausencia de un procedimiento escrito para el desarrollo y/o cambios de SW</t>
  </si>
  <si>
    <t>Ubicación física de los equipos</t>
  </si>
  <si>
    <t>Definición no adecuada de los acuerdos con los proveedores</t>
  </si>
  <si>
    <t>No cifrar la información sensible</t>
  </si>
  <si>
    <t>Otras opciones laborales</t>
  </si>
  <si>
    <t>Ausencia de políticas y procedimientos para actualización</t>
  </si>
  <si>
    <t>Deficiencias en la seguridad física</t>
  </si>
  <si>
    <t>Falta de disponibilidad de las partes</t>
  </si>
  <si>
    <t>Falta de monitoreo de los DBA</t>
  </si>
  <si>
    <t>Red no segmentada de forma adecuada</t>
  </si>
  <si>
    <t>Archivos planos editables</t>
  </si>
  <si>
    <t>Ausencia de control de capacidad de almacenamiento y procesamiento</t>
  </si>
  <si>
    <t>Fallas en la configuración del Hardware</t>
  </si>
  <si>
    <t>Problemas sociales y políticos en la ciudad</t>
  </si>
  <si>
    <t>Ausencia de controles contra fenómenos naturales</t>
  </si>
  <si>
    <t>Desconocimiento del desempeño laboral del funcionario por parte de sus superiores</t>
  </si>
  <si>
    <t>Falta de definición de roles y responsabilidades para el acceso a la información</t>
  </si>
  <si>
    <t xml:space="preserve">Factores externos </t>
  </si>
  <si>
    <t>Políticas no aplicada o no existencia de seguridad en los portales</t>
  </si>
  <si>
    <t>Configuración incorrecta de las bases de datos</t>
  </si>
  <si>
    <t>Puertos de Red con fácil acceso</t>
  </si>
  <si>
    <t>Falta de estandarización para el intercambio de información</t>
  </si>
  <si>
    <t>Desmotivación del personal de centro de cómputo</t>
  </si>
  <si>
    <t>Falta de planeación</t>
  </si>
  <si>
    <t xml:space="preserve">Ubicación física suceptible a desastre naturales </t>
  </si>
  <si>
    <t xml:space="preserve">Ausencia de una definición de un proceso de actualización de la documentación de los procesos. </t>
  </si>
  <si>
    <t>Procesos y/o procedimientos de seguridad física ineficientes</t>
  </si>
  <si>
    <t>Procesos y procedimientos no bien definidos y no ejecutados de forma adecuada</t>
  </si>
  <si>
    <t>Contraseñas de Bases de Datos no seguras</t>
  </si>
  <si>
    <t>Administración inadecuada de la seguridad de la Red</t>
  </si>
  <si>
    <t>Inexistencia de roles y segregación de funciones</t>
  </si>
  <si>
    <t>Valor económico de los datos</t>
  </si>
  <si>
    <t xml:space="preserve">Error Humano </t>
  </si>
  <si>
    <t>Pagos no oportunos de los servicios</t>
  </si>
  <si>
    <t>Infraestructura no cumple con normas de sismoresistencia</t>
  </si>
  <si>
    <t>Posible ausencia de un proceso de administración de conocimiento en la entidad.</t>
  </si>
  <si>
    <t>Ausencia de un plan de recuperación de desastres</t>
  </si>
  <si>
    <t>Debilidades en procesos de capacitación</t>
  </si>
  <si>
    <t xml:space="preserve"> Error Humano</t>
  </si>
  <si>
    <t>Cuentas de usuario genéricas</t>
  </si>
  <si>
    <t>Administración de Dispositivos de Red Insuficiente</t>
  </si>
  <si>
    <t>Ausencia de procedimientos de capacitación permanente</t>
  </si>
  <si>
    <t>Administración de Seguridad Insuficiente</t>
  </si>
  <si>
    <t>Ubicación física del centro de cómputo</t>
  </si>
  <si>
    <t>Aprovisionamiento o cobertura insuficiente de los servicios</t>
  </si>
  <si>
    <t>Estructura Organizacional no definida</t>
  </si>
  <si>
    <t>Interrupción al Canal Principal</t>
  </si>
  <si>
    <t>Ausencia de un refuerzo estructural de las instalaciones</t>
  </si>
  <si>
    <t>Ausencia de un respaldo de las Bases de Datos</t>
  </si>
  <si>
    <t>Falta de seguridad de los puertos de red</t>
  </si>
  <si>
    <t>Inexistencia de registro de cambios</t>
  </si>
  <si>
    <t>Falta de experiencia en los procesos de desarrollo</t>
  </si>
  <si>
    <t>Valor económico de los equipos</t>
  </si>
  <si>
    <t>Mantenimiento insuficiente</t>
  </si>
  <si>
    <t>Centralización de la infraestructura operativa</t>
  </si>
  <si>
    <t>Débil o inexistente asignación de Funciones, Perfiles y Roles.</t>
  </si>
  <si>
    <t>Falta de analisis de vulnerabilidades</t>
  </si>
  <si>
    <t>Limitaciones en el espacio físico</t>
  </si>
  <si>
    <t>Cifrado aplicado incorrectamente</t>
  </si>
  <si>
    <t>Acuerdos de Niveles de Servicio insuficientes con proveedores</t>
  </si>
  <si>
    <t>Ausencia de un sistema de continuidad de negocio</t>
  </si>
  <si>
    <t>Fallas en la seguridad de acceso al Hardware</t>
  </si>
  <si>
    <t>Ausencia o mantenimiento de sistema de detección y extinción de incendios</t>
  </si>
  <si>
    <t>Desmotivación del personal</t>
  </si>
  <si>
    <t>Falta de pruebas tipo pentest</t>
  </si>
  <si>
    <t>Certificados aplicados incorrectamente</t>
  </si>
  <si>
    <t>Pinchazo de línea</t>
  </si>
  <si>
    <t>Acceso de terceros al SW</t>
  </si>
  <si>
    <t>Fallas en la configuración eléctrica</t>
  </si>
  <si>
    <t>Fallas en el mantenimiento preventivo por parte del proveedor</t>
  </si>
  <si>
    <t xml:space="preserve">Falta de documentación </t>
  </si>
  <si>
    <t>Configuraciones inadecuadas</t>
  </si>
  <si>
    <t>Falta de capacitación del personal del centro de cómputo</t>
  </si>
  <si>
    <t>Administración inadecuada de la base de datos</t>
  </si>
  <si>
    <t>Insuficiencia del ancho de banda del canal de comunicaciones</t>
  </si>
  <si>
    <t>Falla en el sistema de información</t>
  </si>
  <si>
    <t>Mantenimiento no adecuado de equipos y HW</t>
  </si>
  <si>
    <t>Daño Appliance</t>
  </si>
  <si>
    <t>Motivación Económica</t>
  </si>
  <si>
    <t>Ausencia de actualización de la plataforma</t>
  </si>
  <si>
    <t>Falta de mantenimiento de los elementos de seguridad industrial</t>
  </si>
  <si>
    <t>Ejecución de instrucciones SQL en línea de comando</t>
  </si>
  <si>
    <t>Configuración incorrecta de las cuentas de servicio</t>
  </si>
  <si>
    <t xml:space="preserve">Falta de capacitación </t>
  </si>
  <si>
    <t>Falta de supervisión sobre la labor de los desarrolladores</t>
  </si>
  <si>
    <t>Falta de Concienciación</t>
  </si>
  <si>
    <t>Ausencia de (antivirus)</t>
  </si>
  <si>
    <t>Inyección de Código SQL</t>
  </si>
  <si>
    <t>Estructura de los sistemas de información</t>
  </si>
  <si>
    <t>Ausencia de una configuración segura del aplicativo</t>
  </si>
  <si>
    <t>Ausencia de Soporte por parte del Fabricante</t>
  </si>
  <si>
    <t>Ausencia controles médicos a empleados</t>
  </si>
  <si>
    <t>Realización de mantenimientos no programados por parte del prestador del servicio</t>
  </si>
  <si>
    <t>Infraestructura de almacenamiento no adecuada.</t>
  </si>
  <si>
    <t>Falta de Capacitación</t>
  </si>
  <si>
    <t>Falta de cuidado personal</t>
  </si>
  <si>
    <t>Administración de Red Insuficiente</t>
  </si>
  <si>
    <t>Aplicativo en periodo de implementación</t>
  </si>
  <si>
    <t xml:space="preserve">Políticas no consistentes para los diversos actores del proceso. </t>
  </si>
  <si>
    <t>Software no licenciado</t>
  </si>
  <si>
    <t>Ausencia de Filtros (Antispam, Antivirus)</t>
  </si>
  <si>
    <t>Tercerizar temas sensibles para la información.</t>
  </si>
  <si>
    <t>Ausencia de IDS o IPS (detección o Prevención de Intrusos)</t>
  </si>
  <si>
    <t xml:space="preserve">
1. Planeación
2. Planeación
3. Planeación</t>
  </si>
  <si>
    <t xml:space="preserve">1. Grupo de TI
</t>
  </si>
  <si>
    <t>1. Tecnico Administrativo Grado 13
2. Tecnico Administrativo Grado 13</t>
  </si>
  <si>
    <t>1. Ministerio de Hacienda 
2. Ministerio de Hacienda
3. ICC</t>
  </si>
  <si>
    <t>1. cada usuario donde se encuentre instalado el software
2. cada usuario donde se encuentre instalado el software
3. Grupo de TI</t>
  </si>
  <si>
    <t xml:space="preserve">1. Museos
2. Grupo de TI
</t>
  </si>
  <si>
    <t>1. Sello Editorial
2. Sello Editorial y Grupo de TI</t>
  </si>
  <si>
    <t>1. Grupo de TI</t>
  </si>
  <si>
    <t>1. En caso de no contar con el contratista de manera oportuna, Solicitar incluir la función en el manual de funciones del Profesional Especializado Grado 13 o Grado 12 del Grupo de las Grupo de TI</t>
  </si>
  <si>
    <t>1. Informe técnico de las cámaras de vigilancia y DVR a cargo del proveedor. 
2. Sesión con el grupo de las Grupo de TI y Recursos Físicos para validar responsabilidades técnicas y administrativas. (acta de compromisos y responsabilidades)</t>
  </si>
  <si>
    <t>1. Planeación y Relacionamiento con el ciudadano
2. Planeación y Relacionamiento con el ciudadano</t>
  </si>
  <si>
    <t xml:space="preserve">1. Técnico Grado 12 </t>
  </si>
  <si>
    <t>1. Auxiliar Administrativo grado 12</t>
  </si>
  <si>
    <t>1. Auxiliar Administrativo grado 11</t>
  </si>
  <si>
    <t>1. Profesional Especializado Grado 16
1. Profesional Universitario Grado 8</t>
  </si>
  <si>
    <t>1. Profesional Especializado Grado 13</t>
  </si>
  <si>
    <t>1. Grupo de Biblioteca Especializada</t>
  </si>
  <si>
    <t xml:space="preserve">1. Empresa de Vigilancia 
</t>
  </si>
  <si>
    <t>1. Coordinador del grupo</t>
  </si>
  <si>
    <t>1. Profesional Especializado Grado 12</t>
  </si>
  <si>
    <t>1. ETB, IFX</t>
  </si>
  <si>
    <t>1. Administrador de infraestructura TI 
2. Profesional Especializado Grado 12</t>
  </si>
  <si>
    <t>1. Profesional Especializado Grado 17
2. Contratista Profesional</t>
  </si>
  <si>
    <t>DIR-GP2</t>
  </si>
  <si>
    <t>DIR-GP3</t>
  </si>
  <si>
    <t>DIR-GP4</t>
  </si>
  <si>
    <t>DIR-GP5</t>
  </si>
  <si>
    <t>1. Biblioteca Especializada
2. Biblioteca Especializada</t>
  </si>
  <si>
    <t>1. Planeación
2. Planeación
3. Planeación</t>
  </si>
  <si>
    <t>1. Investigaciones Académicas</t>
  </si>
  <si>
    <t>1. Equipo de Comunicaciones</t>
  </si>
  <si>
    <t>1. Gestión Contractual</t>
  </si>
  <si>
    <t>6. Monitoreo de la administración del riesgo</t>
  </si>
  <si>
    <t>6.1 Monitoreo del plan de reducción</t>
  </si>
  <si>
    <t>Fecha de Monitoreo</t>
  </si>
  <si>
    <t>Evidencia de implementación de la actividad</t>
  </si>
  <si>
    <t>Estado de la  actividad2</t>
  </si>
  <si>
    <t>Evidencia de ejecución del control</t>
  </si>
  <si>
    <t>7. Seguimiento a la administración del riesgo (Diligenciar por la Primera Línea de Control del equipo MECI)</t>
  </si>
  <si>
    <t>¿El plan de reducción ha permitido mejorar el control?</t>
  </si>
  <si>
    <t>¿Se presentaron eventos de materialización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</si>
</sst>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41" x14ac:knownFonts="1">
    <font>
      <sz val="11"/>
      <color theme="1"/>
      <name val="Aptos Narrow"/>
      <family val="2"/>
      <scheme val="minor"/>
    </font>
    <font>
      <sz val="11"/>
      <color theme="1"/>
      <name val="Aptos Narrow"/>
      <family val="2"/>
      <scheme val="minor"/>
    </font>
    <font>
      <sz val="10"/>
      <name val="Arial"/>
      <family val="2"/>
    </font>
    <font>
      <sz val="12"/>
      <name val="Arial Narrow"/>
      <family val="2"/>
    </font>
    <font>
      <sz val="12"/>
      <color theme="1"/>
      <name val="Arial Narrow"/>
      <family val="2"/>
    </font>
    <font>
      <sz val="11"/>
      <color theme="1"/>
      <name val="Arial Narrow"/>
      <family val="2"/>
    </font>
    <font>
      <b/>
      <sz val="11"/>
      <color theme="1"/>
      <name val="Arial Narrow"/>
      <family val="2"/>
    </font>
    <font>
      <b/>
      <sz val="11"/>
      <color theme="0"/>
      <name val="Arial Narrow"/>
      <family val="2"/>
    </font>
    <font>
      <b/>
      <sz val="11"/>
      <color theme="0" tint="-4.9989318521683403E-2"/>
      <name val="Arial Narrow"/>
      <family val="2"/>
    </font>
    <font>
      <sz val="11"/>
      <name val="Arial Narrow"/>
      <family val="2"/>
    </font>
    <font>
      <b/>
      <sz val="11"/>
      <name val="Arial Narrow"/>
      <family val="2"/>
    </font>
    <font>
      <u/>
      <sz val="11"/>
      <color theme="10"/>
      <name val="Aptos Narrow"/>
      <family val="2"/>
      <scheme val="minor"/>
    </font>
    <font>
      <sz val="11"/>
      <color rgb="FF000000"/>
      <name val="Arial Narrow"/>
      <family val="2"/>
    </font>
    <font>
      <u/>
      <sz val="11"/>
      <color theme="1"/>
      <name val="Arial Narrow"/>
      <family val="2"/>
    </font>
    <font>
      <sz val="8"/>
      <name val="Aptos Narrow"/>
      <family val="2"/>
      <scheme val="minor"/>
    </font>
    <font>
      <b/>
      <sz val="11"/>
      <color theme="0"/>
      <name val="Aptos Narrow"/>
      <family val="2"/>
      <scheme val="minor"/>
    </font>
    <font>
      <b/>
      <sz val="11"/>
      <color theme="1"/>
      <name val="Aptos Narrow"/>
      <family val="2"/>
      <scheme val="minor"/>
    </font>
    <font>
      <b/>
      <sz val="11"/>
      <color rgb="FF000000"/>
      <name val="Arial Narrow"/>
      <family val="2"/>
    </font>
    <font>
      <sz val="11"/>
      <color rgb="FF0070C0"/>
      <name val="Arial Narrow"/>
      <family val="2"/>
    </font>
    <font>
      <b/>
      <sz val="11"/>
      <color rgb="FF0070C0"/>
      <name val="Arial Narrow"/>
      <family val="2"/>
    </font>
    <font>
      <b/>
      <sz val="12"/>
      <color theme="1"/>
      <name val="Arial Narrow"/>
      <family val="2"/>
    </font>
    <font>
      <b/>
      <sz val="12"/>
      <color theme="0"/>
      <name val="Arial Narrow"/>
      <family val="2"/>
    </font>
    <font>
      <b/>
      <sz val="14"/>
      <color theme="0" tint="-4.9989318521683403E-2"/>
      <name val="Arial Narrow"/>
      <family val="2"/>
    </font>
    <font>
      <b/>
      <sz val="14"/>
      <color theme="0"/>
      <name val="Arial Narrow"/>
      <family val="2"/>
    </font>
    <font>
      <b/>
      <sz val="12"/>
      <color theme="0" tint="-4.9989318521683403E-2"/>
      <name val="Arial Narrow"/>
      <family val="2"/>
    </font>
    <font>
      <sz val="11"/>
      <color theme="7" tint="-0.249977111117893"/>
      <name val="Aptos Narrow"/>
      <family val="2"/>
      <scheme val="minor"/>
    </font>
    <font>
      <b/>
      <sz val="11"/>
      <color theme="5" tint="-0.249977111117893"/>
      <name val="Arial Narrow"/>
      <family val="2"/>
    </font>
    <font>
      <b/>
      <sz val="11"/>
      <color theme="9" tint="-0.249977111117893"/>
      <name val="Arial Narrow"/>
      <family val="2"/>
    </font>
    <font>
      <b/>
      <sz val="11"/>
      <name val="Aptos Narrow"/>
      <family val="2"/>
      <scheme val="minor"/>
    </font>
    <font>
      <b/>
      <sz val="11"/>
      <color theme="7" tint="-0.249977111117893"/>
      <name val="Arial Narrow"/>
      <family val="2"/>
    </font>
    <font>
      <b/>
      <sz val="14"/>
      <color theme="9" tint="-0.249977111117893"/>
      <name val="Arial Narrow"/>
      <family val="2"/>
    </font>
    <font>
      <b/>
      <sz val="14"/>
      <color theme="5" tint="-0.249977111117893"/>
      <name val="Arial Narrow"/>
      <family val="2"/>
    </font>
    <font>
      <b/>
      <sz val="14"/>
      <color theme="7" tint="-0.249977111117893"/>
      <name val="Arial Narrow"/>
      <family val="2"/>
    </font>
    <font>
      <b/>
      <sz val="14"/>
      <color theme="1"/>
      <name val="Arial Narrow"/>
      <family val="2"/>
    </font>
    <font>
      <b/>
      <sz val="11"/>
      <color rgb="FFFF0000"/>
      <name val="Arial Narrow"/>
      <family val="2"/>
    </font>
    <font>
      <sz val="12"/>
      <color theme="1"/>
      <name val="Aptos Narrow"/>
      <family val="2"/>
      <scheme val="minor"/>
    </font>
    <font>
      <b/>
      <sz val="8"/>
      <name val="Arial"/>
      <family val="2"/>
    </font>
    <font>
      <sz val="8"/>
      <name val="Arial"/>
      <family val="2"/>
    </font>
    <font>
      <sz val="8"/>
      <color rgb="FF000000"/>
      <name val="Arial"/>
      <family val="2"/>
    </font>
    <font>
      <sz val="9"/>
      <color indexed="81"/>
      <name val="Tahoma"/>
      <family val="2"/>
    </font>
    <font>
      <b/>
      <sz val="9"/>
      <color indexed="81"/>
      <name val="Tahoma"/>
      <family val="2"/>
    </font>
  </fonts>
  <fills count="44">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theme="9" tint="0.79998168889431442"/>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3" tint="-0.249977111117893"/>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1" tint="0.249977111117893"/>
        <bgColor indexed="64"/>
      </patternFill>
    </fill>
    <fill>
      <patternFill patternType="solid">
        <fgColor rgb="FFDDD9C4"/>
        <bgColor indexed="64"/>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solid">
        <fgColor rgb="FFFF9B9B"/>
        <bgColor indexed="64"/>
      </patternFill>
    </fill>
    <fill>
      <patternFill patternType="solid">
        <fgColor theme="4" tint="-0.499984740745262"/>
        <bgColor indexed="64"/>
      </patternFill>
    </fill>
    <fill>
      <patternFill patternType="solid">
        <fgColor theme="9" tint="0.39997558519241921"/>
        <bgColor indexed="64"/>
      </patternFill>
    </fill>
    <fill>
      <patternFill patternType="solid">
        <fgColor rgb="FF7030A0"/>
        <bgColor indexed="64"/>
      </patternFill>
    </fill>
    <fill>
      <patternFill patternType="solid">
        <fgColor theme="4"/>
        <bgColor theme="4"/>
      </patternFill>
    </fill>
    <fill>
      <patternFill patternType="solid">
        <fgColor theme="5" tint="-0.499984740745262"/>
        <bgColor indexed="64"/>
      </patternFill>
    </fill>
    <fill>
      <patternFill patternType="solid">
        <fgColor theme="5" tint="-0.249977111117893"/>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3" tint="9.9978637043366805E-2"/>
        <bgColor indexed="64"/>
      </patternFill>
    </fill>
    <fill>
      <patternFill patternType="solid">
        <fgColor theme="3" tint="0.249977111117893"/>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CCCC"/>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DEADA"/>
        <bgColor rgb="FFECECEC"/>
      </patternFill>
    </fill>
    <fill>
      <patternFill patternType="solid">
        <fgColor rgb="FFDCE6F2"/>
        <bgColor rgb="FFDBEEF4"/>
      </patternFill>
    </fill>
    <fill>
      <patternFill patternType="solid">
        <fgColor theme="0"/>
        <bgColor rgb="FFF2F2F2"/>
      </patternFill>
    </fill>
    <fill>
      <patternFill patternType="solid">
        <fgColor rgb="FFFFFFFF"/>
        <bgColor rgb="FFF2F2F2"/>
      </patternFill>
    </fill>
    <fill>
      <patternFill patternType="solid">
        <fgColor rgb="FFFFFFFF"/>
        <bgColor indexed="64"/>
      </patternFill>
    </fill>
    <fill>
      <patternFill patternType="solid">
        <fgColor theme="9" tint="0.59999389629810485"/>
        <bgColor indexed="64"/>
      </patternFill>
    </fill>
    <fill>
      <patternFill patternType="solid">
        <fgColor theme="6" tint="-0.249977111117893"/>
        <bgColor indexed="64"/>
      </patternFill>
    </fill>
    <fill>
      <patternFill patternType="solid">
        <fgColor rgb="FF92D050"/>
        <bgColor indexed="64"/>
      </patternFill>
    </fill>
  </fills>
  <borders count="88">
    <border>
      <left/>
      <right/>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style="thin">
        <color theme="9" tint="-0.499984740745262"/>
      </right>
      <top/>
      <bottom style="thin">
        <color theme="9" tint="-0.499984740745262"/>
      </bottom>
      <diagonal/>
    </border>
    <border>
      <left style="dotted">
        <color rgb="FFF79646"/>
      </left>
      <right style="dotted">
        <color rgb="FFF79646"/>
      </right>
      <top/>
      <bottom style="dotted">
        <color rgb="FFF79646"/>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style="dotted">
        <color rgb="FFF79646"/>
      </left>
      <right style="dotted">
        <color rgb="FFF79646"/>
      </right>
      <top style="dotted">
        <color rgb="FFF79646"/>
      </top>
      <bottom style="dotted">
        <color rgb="FFF79646"/>
      </bottom>
      <diagonal/>
    </border>
    <border>
      <left style="thin">
        <color theme="9" tint="-0.499984740745262"/>
      </left>
      <right/>
      <top/>
      <bottom/>
      <diagonal/>
    </border>
    <border>
      <left/>
      <right/>
      <top/>
      <bottom style="dashed">
        <color theme="9" tint="-0.249977111117893"/>
      </bottom>
      <diagonal/>
    </border>
    <border>
      <left style="dashed">
        <color theme="9" tint="-0.249977111117893"/>
      </left>
      <right/>
      <top style="dashed">
        <color theme="9" tint="-0.249977111117893"/>
      </top>
      <bottom/>
      <diagonal/>
    </border>
    <border>
      <left/>
      <right/>
      <top style="dashed">
        <color theme="9" tint="-0.249977111117893"/>
      </top>
      <bottom/>
      <diagonal/>
    </border>
    <border>
      <left style="dashed">
        <color theme="9" tint="-0.249977111117893"/>
      </left>
      <right/>
      <top style="dashed">
        <color theme="9" tint="-0.249977111117893"/>
      </top>
      <bottom style="dashed">
        <color theme="9" tint="-0.249977111117893"/>
      </bottom>
      <diagonal/>
    </border>
    <border>
      <left/>
      <right style="dashed">
        <color theme="9" tint="-0.249977111117893"/>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style="dotted">
        <color theme="9" tint="-0.249977111117893"/>
      </left>
      <right style="dotted">
        <color theme="9" tint="-0.249977111117893"/>
      </right>
      <top style="dotted">
        <color theme="9" tint="-0.249977111117893"/>
      </top>
      <bottom style="dotted">
        <color theme="9" tint="-0.249977111117893"/>
      </bottom>
      <diagonal/>
    </border>
    <border>
      <left style="dashed">
        <color theme="9" tint="-0.24994659260841701"/>
      </left>
      <right/>
      <top/>
      <bottom style="medium">
        <color theme="9" tint="-0.499984740745262"/>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dashed">
        <color theme="9" tint="-0.249977111117893"/>
      </top>
      <bottom/>
      <diagonal/>
    </border>
    <border>
      <left/>
      <right style="dashed">
        <color theme="9" tint="-0.249977111117893"/>
      </right>
      <top style="dashed">
        <color theme="9" tint="-0.24994659260841701"/>
      </top>
      <bottom style="dashed">
        <color theme="9" tint="-0.249977111117893"/>
      </bottom>
      <diagonal/>
    </border>
    <border>
      <left style="dashed">
        <color theme="9" tint="-0.249977111117893"/>
      </left>
      <right style="dashed">
        <color theme="9" tint="-0.249977111117893"/>
      </right>
      <top/>
      <bottom style="dashed">
        <color theme="9" tint="-0.249977111117893"/>
      </bottom>
      <diagonal/>
    </border>
    <border>
      <left style="dotted">
        <color theme="9" tint="-0.249977111117893"/>
      </left>
      <right/>
      <top style="dotted">
        <color theme="9" tint="-0.249977111117893"/>
      </top>
      <bottom style="dotted">
        <color theme="9" tint="-0.249977111117893"/>
      </bottom>
      <diagonal/>
    </border>
    <border>
      <left/>
      <right style="dashed">
        <color theme="9" tint="-0.24994659260841701"/>
      </right>
      <top style="dashed">
        <color theme="9" tint="-0.249977111117893"/>
      </top>
      <bottom style="medium">
        <color theme="9" tint="-0.499984740745262"/>
      </bottom>
      <diagonal/>
    </border>
    <border>
      <left style="dashed">
        <color theme="9" tint="-0.249977111117893"/>
      </left>
      <right style="dashed">
        <color theme="9" tint="-0.249977111117893"/>
      </right>
      <top style="dashed">
        <color theme="9" tint="-0.249977111117893"/>
      </top>
      <bottom style="medium">
        <color theme="9" tint="-0.499984740745262"/>
      </bottom>
      <diagonal/>
    </border>
    <border>
      <left style="dashed">
        <color theme="9" tint="-0.249977111117893"/>
      </left>
      <right/>
      <top/>
      <bottom style="dashed">
        <color theme="9" tint="-0.249977111117893"/>
      </bottom>
      <diagonal/>
    </border>
    <border>
      <left/>
      <right style="medium">
        <color theme="9" tint="-0.499984740745262"/>
      </right>
      <top/>
      <bottom style="dashed">
        <color theme="9" tint="-0.249977111117893"/>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medium">
        <color theme="9" tint="-0.499984740745262"/>
      </top>
      <bottom style="dashed">
        <color theme="9" tint="-0.24994659260841701"/>
      </bottom>
      <diagonal/>
    </border>
    <border>
      <left/>
      <right/>
      <top/>
      <bottom style="dashed">
        <color theme="9" tint="-0.24994659260841701"/>
      </bottom>
      <diagonal/>
    </border>
    <border>
      <left style="dashed">
        <color theme="9" tint="-0.24994659260841701"/>
      </left>
      <right/>
      <top style="medium">
        <color theme="9" tint="-0.499984740745262"/>
      </top>
      <bottom style="dashed">
        <color theme="9" tint="-0.24994659260841701"/>
      </bottom>
      <diagonal/>
    </border>
    <border>
      <left style="dashed">
        <color theme="9" tint="-0.249977111117893"/>
      </left>
      <right style="dashed">
        <color theme="9" tint="-0.249977111117893"/>
      </right>
      <top style="medium">
        <color theme="9" tint="-0.499984740745262"/>
      </top>
      <bottom style="dashed">
        <color theme="9" tint="-0.24994659260841701"/>
      </bottom>
      <diagonal/>
    </border>
    <border>
      <left/>
      <right/>
      <top style="medium">
        <color theme="9" tint="-0.499984740745262"/>
      </top>
      <bottom style="dashed">
        <color theme="9" tint="-0.24994659260841701"/>
      </bottom>
      <diagonal/>
    </border>
    <border>
      <left style="dashed">
        <color theme="9" tint="-0.24994659260841701"/>
      </left>
      <right style="medium">
        <color theme="9" tint="-0.499984740745262"/>
      </right>
      <top style="medium">
        <color theme="9" tint="-0.499984740745262"/>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style="dashed">
        <color theme="9" tint="-0.249977111117893"/>
      </left>
      <right style="dashed">
        <color theme="9" tint="-0.249977111117893"/>
      </right>
      <top style="dashed">
        <color theme="9" tint="-0.24994659260841701"/>
      </top>
      <bottom style="dashed">
        <color theme="9" tint="-0.24994659260841701"/>
      </bottom>
      <diagonal/>
    </border>
    <border>
      <left style="dashed">
        <color theme="9" tint="-0.24994659260841701"/>
      </left>
      <right style="medium">
        <color theme="9" tint="-0.499984740745262"/>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style="medium">
        <color theme="9" tint="-0.499984740745262"/>
      </bottom>
      <diagonal/>
    </border>
    <border>
      <left/>
      <right/>
      <top style="dashed">
        <color theme="9" tint="-0.24994659260841701"/>
      </top>
      <bottom style="medium">
        <color theme="9" tint="-0.499984740745262"/>
      </bottom>
      <diagonal/>
    </border>
    <border>
      <left style="dashed">
        <color theme="9" tint="-0.24994659260841701"/>
      </left>
      <right/>
      <top style="dashed">
        <color theme="9" tint="-0.24994659260841701"/>
      </top>
      <bottom style="medium">
        <color theme="9" tint="-0.499984740745262"/>
      </bottom>
      <diagonal/>
    </border>
    <border>
      <left style="dashed">
        <color theme="9" tint="-0.249977111117893"/>
      </left>
      <right style="dashed">
        <color theme="9" tint="-0.249977111117893"/>
      </right>
      <top style="dashed">
        <color theme="9" tint="-0.24994659260841701"/>
      </top>
      <bottom style="medium">
        <color theme="9" tint="-0.499984740745262"/>
      </bottom>
      <diagonal/>
    </border>
    <border>
      <left style="dashed">
        <color theme="9" tint="-0.24994659260841701"/>
      </left>
      <right style="medium">
        <color theme="9" tint="-0.499984740745262"/>
      </right>
      <top style="dashed">
        <color theme="9" tint="-0.24994659260841701"/>
      </top>
      <bottom style="medium">
        <color theme="9" tint="-0.499984740745262"/>
      </bottom>
      <diagonal/>
    </border>
    <border>
      <left style="dashed">
        <color theme="9" tint="-0.24994659260841701"/>
      </left>
      <right style="dashed">
        <color theme="9" tint="-0.249977111117893"/>
      </right>
      <top style="dashed">
        <color theme="9" tint="-0.24994659260841701"/>
      </top>
      <bottom style="dashed">
        <color theme="9" tint="-0.24994659260841701"/>
      </bottom>
      <diagonal/>
    </border>
    <border>
      <left style="dashed">
        <color theme="9" tint="-0.24994659260841701"/>
      </left>
      <right style="dashed">
        <color theme="9" tint="-0.249977111117893"/>
      </right>
      <top style="dashed">
        <color theme="9" tint="-0.24994659260841701"/>
      </top>
      <bottom style="medium">
        <color theme="9" tint="-0.499984740745262"/>
      </bottom>
      <diagonal/>
    </border>
    <border>
      <left style="dashed">
        <color theme="9" tint="-0.24994659260841701"/>
      </left>
      <right style="dashed">
        <color theme="9" tint="-0.249977111117893"/>
      </right>
      <top style="medium">
        <color theme="9" tint="-0.499984740745262"/>
      </top>
      <bottom style="dashed">
        <color theme="9" tint="-0.24994659260841701"/>
      </bottom>
      <diagonal/>
    </border>
    <border>
      <left/>
      <right style="medium">
        <color theme="9" tint="-0.499984740745262"/>
      </right>
      <top style="medium">
        <color theme="9" tint="-0.499984740745262"/>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theme="9" tint="-0.249977111117893"/>
      </right>
      <top style="dashed">
        <color theme="9" tint="-0.249977111117893"/>
      </top>
      <bottom style="dashed">
        <color theme="9" tint="-0.249977111117893"/>
      </bottom>
      <diagonal/>
    </border>
    <border>
      <left/>
      <right style="dotted">
        <color theme="9" tint="-0.249977111117893"/>
      </right>
      <top style="dotted">
        <color theme="9" tint="-0.249977111117893"/>
      </top>
      <bottom style="dotted">
        <color theme="9" tint="-0.249977111117893"/>
      </bottom>
      <diagonal/>
    </border>
    <border>
      <left/>
      <right style="dashed">
        <color theme="9" tint="-0.249977111117893"/>
      </right>
      <top/>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right/>
      <top style="medium">
        <color theme="1"/>
      </top>
      <bottom style="medium">
        <color theme="1"/>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ashed">
        <color theme="9" tint="-0.24994659260841701"/>
      </right>
      <top style="medium">
        <color theme="9" tint="-0.499984740745262"/>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medium">
        <color theme="9" tint="-0.499984740745262"/>
      </bottom>
      <diagonal/>
    </border>
    <border>
      <left style="thin">
        <color theme="4" tint="0.39997558519241921"/>
      </left>
      <right/>
      <top style="medium">
        <color theme="9" tint="-0.499984740745262"/>
      </top>
      <bottom/>
      <diagonal/>
    </border>
    <border>
      <left style="medium">
        <color indexed="64"/>
      </left>
      <right/>
      <top style="medium">
        <color indexed="64"/>
      </top>
      <bottom style="thin">
        <color theme="4" tint="0.39997558519241921"/>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theme="4" tint="0.39997558519241921"/>
      </top>
      <bottom style="thin">
        <color theme="4" tint="0.39997558519241921"/>
      </bottom>
      <diagonal/>
    </border>
    <border>
      <left/>
      <right style="medium">
        <color indexed="64"/>
      </right>
      <top/>
      <bottom/>
      <diagonal/>
    </border>
    <border>
      <left style="medium">
        <color indexed="64"/>
      </left>
      <right/>
      <top style="thin">
        <color theme="4" tint="0.39997558519241921"/>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4" tint="0.39997558519241921"/>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dashed">
        <color theme="9" tint="-0.24994659260841701"/>
      </left>
      <right/>
      <top/>
      <bottom/>
      <diagonal/>
    </border>
    <border>
      <left style="medium">
        <color indexed="64"/>
      </left>
      <right style="medium">
        <color indexed="64"/>
      </right>
      <top style="medium">
        <color indexed="64"/>
      </top>
      <bottom style="medium">
        <color indexed="64"/>
      </bottom>
      <diagonal/>
    </border>
    <border>
      <left style="dashed">
        <color theme="9" tint="-0.249977111117893"/>
      </left>
      <right style="dashed">
        <color theme="9" tint="-0.249977111117893"/>
      </right>
      <top style="dashed">
        <color theme="9" tint="-0.249977111117893"/>
      </top>
      <bottom/>
      <diagonal/>
    </border>
    <border>
      <left/>
      <right style="dashed">
        <color theme="9" tint="-0.249977111117893"/>
      </right>
      <top style="dashed">
        <color theme="9" tint="-0.249977111117893"/>
      </top>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top style="double">
        <color indexed="64"/>
      </top>
      <bottom/>
      <diagonal/>
    </border>
    <border>
      <left style="thin">
        <color indexed="64"/>
      </left>
      <right style="thin">
        <color indexed="64"/>
      </right>
      <top style="thin">
        <color indexed="64"/>
      </top>
      <bottom/>
      <diagonal/>
    </border>
  </borders>
  <cellStyleXfs count="8">
    <xf numFmtId="0" fontId="0" fillId="0" borderId="0"/>
    <xf numFmtId="9"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1" fillId="0" borderId="0" applyNumberFormat="0" applyFill="0" applyBorder="0" applyAlignment="0" applyProtection="0"/>
    <xf numFmtId="0" fontId="35" fillId="0" borderId="0"/>
    <xf numFmtId="0" fontId="2" fillId="0" borderId="0"/>
  </cellStyleXfs>
  <cellXfs count="379">
    <xf numFmtId="0" fontId="0" fillId="0" borderId="0" xfId="0"/>
    <xf numFmtId="0" fontId="22" fillId="20" borderId="49" xfId="0" applyFont="1" applyFill="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5" fillId="0" borderId="0" xfId="0" applyFont="1" applyAlignment="1" applyProtection="1">
      <alignment horizontal="center" vertical="center" wrapText="1"/>
      <protection locked="0"/>
    </xf>
    <xf numFmtId="0" fontId="5" fillId="2" borderId="0" xfId="0" applyFont="1" applyFill="1" applyAlignment="1" applyProtection="1">
      <alignment vertical="center" wrapText="1"/>
      <protection locked="0"/>
    </xf>
    <xf numFmtId="0" fontId="9" fillId="0" borderId="0" xfId="0" applyFont="1" applyAlignment="1" applyProtection="1">
      <alignment vertical="center" wrapText="1"/>
      <protection locked="0"/>
    </xf>
    <xf numFmtId="0" fontId="7" fillId="15" borderId="17" xfId="0" applyFont="1" applyFill="1" applyBorder="1" applyAlignment="1" applyProtection="1">
      <alignment horizontal="center" vertical="center" wrapText="1"/>
      <protection locked="0"/>
    </xf>
    <xf numFmtId="0" fontId="6" fillId="9" borderId="25"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6" xfId="0" applyFont="1" applyFill="1" applyBorder="1" applyAlignment="1" applyProtection="1">
      <alignment horizontal="center" vertical="center" wrapText="1"/>
      <protection locked="0"/>
    </xf>
    <xf numFmtId="0" fontId="7" fillId="15" borderId="27" xfId="0" applyFont="1" applyFill="1" applyBorder="1" applyAlignment="1" applyProtection="1">
      <alignment horizontal="center" vertical="center" wrapText="1"/>
      <protection locked="0"/>
    </xf>
    <xf numFmtId="0" fontId="7" fillId="15" borderId="23" xfId="0" applyFont="1" applyFill="1" applyBorder="1" applyAlignment="1" applyProtection="1">
      <alignment horizontal="center" vertical="center" wrapText="1"/>
      <protection locked="0"/>
    </xf>
    <xf numFmtId="0" fontId="7" fillId="15" borderId="11" xfId="0" applyFont="1" applyFill="1" applyBorder="1" applyAlignment="1" applyProtection="1">
      <alignment horizontal="center" vertical="center" wrapText="1"/>
      <protection locked="0"/>
    </xf>
    <xf numFmtId="0" fontId="7" fillId="15" borderId="28" xfId="0" applyFont="1" applyFill="1" applyBorder="1" applyAlignment="1" applyProtection="1">
      <alignment horizontal="center" vertical="center" wrapText="1"/>
      <protection locked="0"/>
    </xf>
    <xf numFmtId="0" fontId="5" fillId="13" borderId="32" xfId="0" applyFont="1" applyFill="1" applyBorder="1" applyAlignment="1" applyProtection="1">
      <alignment horizontal="center" vertical="center" wrapText="1"/>
      <protection locked="0"/>
    </xf>
    <xf numFmtId="0" fontId="5" fillId="13" borderId="33" xfId="0" applyFont="1" applyFill="1" applyBorder="1" applyAlignment="1" applyProtection="1">
      <alignment horizontal="center" vertical="center" wrapText="1"/>
      <protection locked="0"/>
    </xf>
    <xf numFmtId="0" fontId="5" fillId="13" borderId="30" xfId="0" applyFont="1" applyFill="1" applyBorder="1" applyAlignment="1" applyProtection="1">
      <alignment horizontal="center" vertical="center" wrapText="1"/>
      <protection locked="0"/>
    </xf>
    <xf numFmtId="15" fontId="5" fillId="16" borderId="31" xfId="0" applyNumberFormat="1" applyFont="1" applyFill="1" applyBorder="1" applyAlignment="1" applyProtection="1">
      <alignment horizontal="center" vertical="center" wrapText="1"/>
      <protection locked="0"/>
    </xf>
    <xf numFmtId="0" fontId="5" fillId="16" borderId="32" xfId="0" applyFont="1" applyFill="1" applyBorder="1" applyAlignment="1" applyProtection="1">
      <alignment horizontal="center" vertical="center" wrapText="1"/>
      <protection locked="0"/>
    </xf>
    <xf numFmtId="0" fontId="5" fillId="16" borderId="33" xfId="0" applyFont="1" applyFill="1" applyBorder="1" applyAlignment="1" applyProtection="1">
      <alignment horizontal="center" vertical="center" wrapText="1"/>
      <protection locked="0"/>
    </xf>
    <xf numFmtId="0" fontId="5" fillId="16" borderId="34" xfId="0" applyFont="1" applyFill="1" applyBorder="1" applyAlignment="1" applyProtection="1">
      <alignment horizontal="center" vertical="center" wrapText="1"/>
      <protection locked="0"/>
    </xf>
    <xf numFmtId="0" fontId="5" fillId="16" borderId="35" xfId="0" applyFont="1" applyFill="1" applyBorder="1" applyAlignment="1" applyProtection="1">
      <alignment horizontal="center" vertical="center" wrapText="1"/>
      <protection locked="0"/>
    </xf>
    <xf numFmtId="0" fontId="5" fillId="13" borderId="37" xfId="0" applyFont="1" applyFill="1" applyBorder="1" applyAlignment="1" applyProtection="1">
      <alignment horizontal="center" vertical="center" wrapText="1"/>
      <protection locked="0"/>
    </xf>
    <xf numFmtId="0" fontId="5" fillId="13" borderId="38" xfId="0" applyFont="1" applyFill="1" applyBorder="1" applyAlignment="1" applyProtection="1">
      <alignment horizontal="center" vertical="center" wrapText="1"/>
      <protection locked="0"/>
    </xf>
    <xf numFmtId="0" fontId="5" fillId="13" borderId="29" xfId="0" applyFont="1" applyFill="1" applyBorder="1" applyAlignment="1" applyProtection="1">
      <alignment horizontal="center" vertical="center" wrapText="1"/>
      <protection locked="0"/>
    </xf>
    <xf numFmtId="15" fontId="5" fillId="16" borderId="36" xfId="0" applyNumberFormat="1" applyFont="1" applyFill="1" applyBorder="1" applyAlignment="1" applyProtection="1">
      <alignment horizontal="center" vertical="center" wrapText="1"/>
      <protection locked="0"/>
    </xf>
    <xf numFmtId="0" fontId="5" fillId="16" borderId="37" xfId="0" applyFont="1" applyFill="1" applyBorder="1" applyAlignment="1" applyProtection="1">
      <alignment horizontal="center" vertical="center" wrapText="1"/>
      <protection locked="0"/>
    </xf>
    <xf numFmtId="0" fontId="5" fillId="16" borderId="38" xfId="0" applyFont="1" applyFill="1" applyBorder="1" applyAlignment="1" applyProtection="1">
      <alignment horizontal="center" vertical="center" wrapText="1"/>
      <protection locked="0"/>
    </xf>
    <xf numFmtId="0" fontId="5" fillId="16" borderId="36" xfId="0" applyFont="1" applyFill="1" applyBorder="1" applyAlignment="1" applyProtection="1">
      <alignment horizontal="center" vertical="center" wrapText="1"/>
      <protection locked="0"/>
    </xf>
    <xf numFmtId="0" fontId="5" fillId="16" borderId="39" xfId="0" applyFont="1" applyFill="1" applyBorder="1" applyAlignment="1" applyProtection="1">
      <alignment horizontal="center" vertical="center" wrapText="1"/>
      <protection locked="0"/>
    </xf>
    <xf numFmtId="0" fontId="5" fillId="13" borderId="36" xfId="0" applyFont="1" applyFill="1" applyBorder="1" applyAlignment="1" applyProtection="1">
      <alignment horizontal="center" vertical="center" wrapText="1"/>
      <protection locked="0"/>
    </xf>
    <xf numFmtId="0" fontId="5" fillId="13" borderId="42" xfId="0" applyFont="1" applyFill="1" applyBorder="1" applyAlignment="1" applyProtection="1">
      <alignment horizontal="center" vertical="center" wrapText="1"/>
      <protection locked="0"/>
    </xf>
    <xf numFmtId="0" fontId="5" fillId="13" borderId="43" xfId="0" applyFont="1" applyFill="1" applyBorder="1" applyAlignment="1" applyProtection="1">
      <alignment horizontal="center" vertical="center" wrapText="1"/>
      <protection locked="0"/>
    </xf>
    <xf numFmtId="0" fontId="5" fillId="13" borderId="40" xfId="0" applyFont="1" applyFill="1" applyBorder="1" applyAlignment="1" applyProtection="1">
      <alignment horizontal="center" vertical="center" wrapText="1"/>
      <protection locked="0"/>
    </xf>
    <xf numFmtId="15" fontId="5" fillId="16" borderId="41" xfId="0" applyNumberFormat="1" applyFont="1" applyFill="1" applyBorder="1" applyAlignment="1" applyProtection="1">
      <alignment horizontal="center" vertical="center" wrapText="1"/>
      <protection locked="0"/>
    </xf>
    <xf numFmtId="0" fontId="5" fillId="16" borderId="42" xfId="0" applyFont="1" applyFill="1" applyBorder="1" applyAlignment="1" applyProtection="1">
      <alignment horizontal="center" vertical="center" wrapText="1"/>
      <protection locked="0"/>
    </xf>
    <xf numFmtId="0" fontId="5" fillId="16" borderId="43" xfId="0" applyFont="1" applyFill="1" applyBorder="1" applyAlignment="1" applyProtection="1">
      <alignment horizontal="center" vertical="center" wrapText="1"/>
      <protection locked="0"/>
    </xf>
    <xf numFmtId="0" fontId="5" fillId="16" borderId="41" xfId="0" applyFont="1" applyFill="1" applyBorder="1" applyAlignment="1" applyProtection="1">
      <alignment horizontal="center" vertical="center" wrapText="1"/>
      <protection locked="0"/>
    </xf>
    <xf numFmtId="0" fontId="5" fillId="16" borderId="44" xfId="0" applyFont="1" applyFill="1" applyBorder="1" applyAlignment="1" applyProtection="1">
      <alignment horizontal="center" vertical="center" wrapText="1"/>
      <protection locked="0"/>
    </xf>
    <xf numFmtId="0" fontId="5" fillId="16" borderId="45" xfId="0" applyFont="1" applyFill="1" applyBorder="1" applyAlignment="1" applyProtection="1">
      <alignment horizontal="center" vertical="center" wrapText="1"/>
      <protection locked="0"/>
    </xf>
    <xf numFmtId="0" fontId="5" fillId="16" borderId="22" xfId="0" applyFont="1" applyFill="1" applyBorder="1" applyAlignment="1" applyProtection="1">
      <alignment horizontal="center" vertical="center" wrapText="1"/>
      <protection locked="0"/>
    </xf>
    <xf numFmtId="0" fontId="5" fillId="16" borderId="31" xfId="0" applyFont="1" applyFill="1" applyBorder="1" applyAlignment="1" applyProtection="1">
      <alignment horizontal="center" vertical="center" wrapText="1"/>
      <protection locked="0"/>
    </xf>
    <xf numFmtId="0" fontId="5" fillId="16" borderId="46" xfId="0" applyFont="1" applyFill="1" applyBorder="1" applyAlignment="1" applyProtection="1">
      <alignment horizontal="center" vertical="center" wrapText="1"/>
      <protection locked="0"/>
    </xf>
    <xf numFmtId="0" fontId="5" fillId="13" borderId="47" xfId="0" applyFont="1" applyFill="1" applyBorder="1" applyAlignment="1" applyProtection="1">
      <alignment horizontal="center" vertical="center" wrapText="1"/>
      <protection locked="0"/>
    </xf>
    <xf numFmtId="0" fontId="5" fillId="16" borderId="47" xfId="0" applyFont="1" applyFill="1" applyBorder="1" applyAlignment="1" applyProtection="1">
      <alignment horizontal="center" vertical="center" wrapText="1"/>
      <protection locked="0"/>
    </xf>
    <xf numFmtId="14" fontId="5" fillId="13" borderId="37" xfId="0" applyNumberFormat="1" applyFont="1" applyFill="1" applyBorder="1" applyAlignment="1" applyProtection="1">
      <alignment horizontal="center" vertical="center" wrapText="1"/>
      <protection locked="0"/>
    </xf>
    <xf numFmtId="0" fontId="5" fillId="8" borderId="48" xfId="0" applyFont="1" applyFill="1" applyBorder="1" applyAlignment="1" applyProtection="1">
      <alignment vertical="center" wrapText="1"/>
      <protection locked="0"/>
    </xf>
    <xf numFmtId="0" fontId="5" fillId="13" borderId="30" xfId="0" applyFont="1" applyFill="1" applyBorder="1" applyAlignment="1" applyProtection="1">
      <alignment horizontal="left" vertical="center" wrapText="1"/>
      <protection locked="0"/>
    </xf>
    <xf numFmtId="0" fontId="5" fillId="13" borderId="29" xfId="0" applyFont="1" applyFill="1" applyBorder="1" applyAlignment="1" applyProtection="1">
      <alignment horizontal="left" vertical="center" wrapText="1"/>
      <protection locked="0"/>
    </xf>
    <xf numFmtId="0" fontId="5" fillId="13" borderId="29" xfId="0" applyFont="1" applyFill="1" applyBorder="1" applyAlignment="1" applyProtection="1">
      <alignment vertical="center" wrapText="1"/>
      <protection locked="0"/>
    </xf>
    <xf numFmtId="0" fontId="12" fillId="13" borderId="29" xfId="0" applyFont="1" applyFill="1" applyBorder="1" applyAlignment="1" applyProtection="1">
      <alignment horizontal="center" vertical="center" wrapText="1"/>
      <protection locked="0"/>
    </xf>
    <xf numFmtId="0" fontId="13" fillId="16" borderId="45" xfId="0" applyFont="1" applyFill="1" applyBorder="1" applyAlignment="1" applyProtection="1">
      <alignment horizontal="center" vertical="center" wrapText="1"/>
      <protection locked="0"/>
    </xf>
    <xf numFmtId="0" fontId="13" fillId="16" borderId="37" xfId="0" applyFont="1" applyFill="1" applyBorder="1" applyAlignment="1" applyProtection="1">
      <alignment horizontal="center" vertical="center" wrapText="1"/>
      <protection locked="0"/>
    </xf>
    <xf numFmtId="0" fontId="12" fillId="8" borderId="48" xfId="0" applyFont="1" applyFill="1" applyBorder="1" applyAlignment="1" applyProtection="1">
      <alignment vertical="center" wrapText="1"/>
      <protection locked="0"/>
    </xf>
    <xf numFmtId="0" fontId="9" fillId="13" borderId="37" xfId="0" applyFont="1" applyFill="1" applyBorder="1" applyAlignment="1" applyProtection="1">
      <alignment horizontal="center" vertical="center" wrapText="1"/>
      <protection locked="0"/>
    </xf>
    <xf numFmtId="0" fontId="9" fillId="13" borderId="29" xfId="0" applyFont="1" applyFill="1" applyBorder="1" applyAlignment="1" applyProtection="1">
      <alignment horizontal="center" vertical="center" wrapText="1"/>
      <protection locked="0"/>
    </xf>
    <xf numFmtId="15" fontId="9" fillId="16" borderId="36" xfId="0" applyNumberFormat="1" applyFont="1" applyFill="1" applyBorder="1" applyAlignment="1" applyProtection="1">
      <alignment horizontal="center" vertical="center" wrapText="1"/>
      <protection locked="0"/>
    </xf>
    <xf numFmtId="0" fontId="9" fillId="16" borderId="37" xfId="0" applyFont="1" applyFill="1" applyBorder="1" applyAlignment="1" applyProtection="1">
      <alignment horizontal="center" vertical="center" wrapText="1"/>
      <protection locked="0"/>
    </xf>
    <xf numFmtId="0" fontId="9" fillId="16" borderId="45" xfId="0" applyFont="1" applyFill="1" applyBorder="1" applyAlignment="1" applyProtection="1">
      <alignment horizontal="center" vertical="center" wrapText="1"/>
      <protection locked="0"/>
    </xf>
    <xf numFmtId="0" fontId="9" fillId="16" borderId="36" xfId="0" applyFont="1" applyFill="1" applyBorder="1" applyAlignment="1" applyProtection="1">
      <alignment horizontal="center" vertical="center" wrapText="1"/>
      <protection locked="0"/>
    </xf>
    <xf numFmtId="0" fontId="9" fillId="16" borderId="39" xfId="0" applyFont="1" applyFill="1" applyBorder="1" applyAlignment="1" applyProtection="1">
      <alignment horizontal="center" vertical="center" wrapText="1"/>
      <protection locked="0"/>
    </xf>
    <xf numFmtId="0" fontId="9" fillId="13" borderId="42" xfId="0" applyFont="1" applyFill="1" applyBorder="1" applyAlignment="1" applyProtection="1">
      <alignment horizontal="center" vertical="center" wrapText="1"/>
      <protection locked="0"/>
    </xf>
    <xf numFmtId="0" fontId="9" fillId="13" borderId="40" xfId="0" applyFont="1" applyFill="1" applyBorder="1" applyAlignment="1" applyProtection="1">
      <alignment horizontal="center" vertical="center" wrapText="1"/>
      <protection locked="0"/>
    </xf>
    <xf numFmtId="15" fontId="9" fillId="16" borderId="41" xfId="0" applyNumberFormat="1" applyFont="1" applyFill="1" applyBorder="1" applyAlignment="1" applyProtection="1">
      <alignment horizontal="center" vertical="center" wrapText="1"/>
      <protection locked="0"/>
    </xf>
    <xf numFmtId="0" fontId="9" fillId="16" borderId="42" xfId="0" applyFont="1" applyFill="1" applyBorder="1" applyAlignment="1" applyProtection="1">
      <alignment horizontal="center" vertical="center" wrapText="1"/>
      <protection locked="0"/>
    </xf>
    <xf numFmtId="0" fontId="9" fillId="16" borderId="46" xfId="0" applyFont="1" applyFill="1" applyBorder="1" applyAlignment="1" applyProtection="1">
      <alignment horizontal="center" vertical="center" wrapText="1"/>
      <protection locked="0"/>
    </xf>
    <xf numFmtId="0" fontId="9" fillId="16" borderId="41" xfId="0" applyFont="1" applyFill="1" applyBorder="1" applyAlignment="1" applyProtection="1">
      <alignment horizontal="center" vertical="center" wrapText="1"/>
      <protection locked="0"/>
    </xf>
    <xf numFmtId="0" fontId="9" fillId="16" borderId="44" xfId="0" applyFont="1" applyFill="1" applyBorder="1" applyAlignment="1" applyProtection="1">
      <alignment horizontal="center" vertical="center" wrapText="1"/>
      <protection locked="0"/>
    </xf>
    <xf numFmtId="0" fontId="9" fillId="13" borderId="32" xfId="0" applyFont="1" applyFill="1" applyBorder="1" applyAlignment="1" applyProtection="1">
      <alignment horizontal="center" vertical="center" wrapText="1"/>
      <protection locked="0"/>
    </xf>
    <xf numFmtId="0" fontId="9" fillId="13" borderId="30" xfId="0" applyFont="1" applyFill="1" applyBorder="1" applyAlignment="1" applyProtection="1">
      <alignment horizontal="center" vertical="center" wrapText="1"/>
      <protection locked="0"/>
    </xf>
    <xf numFmtId="15" fontId="9" fillId="16" borderId="31" xfId="0" applyNumberFormat="1" applyFont="1" applyFill="1" applyBorder="1" applyAlignment="1" applyProtection="1">
      <alignment horizontal="center" vertical="center" wrapText="1"/>
      <protection locked="0"/>
    </xf>
    <xf numFmtId="0" fontId="9" fillId="16" borderId="32" xfId="0" applyFont="1" applyFill="1" applyBorder="1" applyAlignment="1" applyProtection="1">
      <alignment horizontal="center" vertical="center" wrapText="1"/>
      <protection locked="0"/>
    </xf>
    <xf numFmtId="0" fontId="9" fillId="16" borderId="47" xfId="0" applyFont="1" applyFill="1" applyBorder="1" applyAlignment="1" applyProtection="1">
      <alignment horizontal="center" vertical="center" wrapText="1"/>
      <protection locked="0"/>
    </xf>
    <xf numFmtId="0" fontId="9" fillId="16" borderId="34" xfId="0" applyFont="1" applyFill="1" applyBorder="1" applyAlignment="1" applyProtection="1">
      <alignment horizontal="center" vertical="center" wrapText="1"/>
      <protection locked="0"/>
    </xf>
    <xf numFmtId="0" fontId="9" fillId="16" borderId="35" xfId="0" applyFont="1" applyFill="1" applyBorder="1" applyAlignment="1" applyProtection="1">
      <alignment horizontal="center" vertical="center" wrapText="1"/>
      <protection locked="0"/>
    </xf>
    <xf numFmtId="0" fontId="5" fillId="0" borderId="0" xfId="0" applyFont="1" applyAlignment="1">
      <alignment vertical="center" wrapText="1"/>
    </xf>
    <xf numFmtId="0" fontId="6" fillId="7" borderId="8" xfId="0" applyFont="1" applyFill="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horizontal="left" vertical="center" wrapText="1"/>
    </xf>
    <xf numFmtId="0" fontId="0" fillId="0" borderId="0" xfId="0" applyAlignment="1">
      <alignment vertical="center" wrapText="1"/>
    </xf>
    <xf numFmtId="0" fontId="4" fillId="0" borderId="0" xfId="0" applyFont="1" applyAlignment="1">
      <alignment vertical="center" wrapText="1"/>
    </xf>
    <xf numFmtId="0" fontId="4" fillId="0" borderId="49" xfId="0" applyFont="1" applyBorder="1" applyAlignment="1">
      <alignment horizontal="center" vertical="center" wrapText="1"/>
    </xf>
    <xf numFmtId="0" fontId="16" fillId="0" borderId="0" xfId="0" applyFont="1" applyAlignment="1">
      <alignment horizontal="center" vertical="center" wrapText="1"/>
    </xf>
    <xf numFmtId="0" fontId="11" fillId="13" borderId="37" xfId="5" applyFill="1" applyBorder="1" applyAlignment="1" applyProtection="1">
      <alignment horizontal="center" vertical="center" wrapText="1"/>
      <protection locked="0"/>
    </xf>
    <xf numFmtId="0" fontId="5" fillId="2" borderId="0" xfId="0" applyFont="1" applyFill="1" applyAlignment="1">
      <alignment vertical="center" wrapText="1"/>
    </xf>
    <xf numFmtId="0" fontId="6" fillId="0" borderId="0" xfId="0" applyFont="1" applyAlignment="1">
      <alignment vertical="center" wrapText="1"/>
    </xf>
    <xf numFmtId="0" fontId="17" fillId="4" borderId="2" xfId="0" applyFont="1" applyFill="1" applyBorder="1" applyAlignment="1">
      <alignment horizontal="center" vertical="center" wrapText="1" readingOrder="1"/>
    </xf>
    <xf numFmtId="0" fontId="18" fillId="3" borderId="1" xfId="0" applyFont="1" applyFill="1" applyBorder="1" applyAlignment="1">
      <alignment horizontal="center" vertical="center" wrapText="1" readingOrder="1"/>
    </xf>
    <xf numFmtId="0" fontId="0" fillId="2" borderId="0" xfId="0" applyFill="1" applyAlignment="1">
      <alignment vertical="center" wrapText="1"/>
    </xf>
    <xf numFmtId="37" fontId="12" fillId="0" borderId="7" xfId="2" applyNumberFormat="1" applyFont="1" applyBorder="1" applyAlignment="1">
      <alignment horizontal="center" vertical="center" wrapText="1" readingOrder="1"/>
    </xf>
    <xf numFmtId="10" fontId="10" fillId="9" borderId="8" xfId="1" applyNumberFormat="1" applyFont="1" applyFill="1" applyBorder="1" applyAlignment="1">
      <alignment horizontal="center" vertical="center" wrapText="1"/>
    </xf>
    <xf numFmtId="0" fontId="10" fillId="9" borderId="8" xfId="3" applyFont="1" applyFill="1" applyBorder="1" applyAlignment="1">
      <alignment horizontal="center" vertical="center" wrapText="1"/>
    </xf>
    <xf numFmtId="0" fontId="17" fillId="4" borderId="1" xfId="0" applyFont="1" applyFill="1" applyBorder="1" applyAlignment="1">
      <alignment horizontal="center" vertical="center" wrapText="1" readingOrder="1"/>
    </xf>
    <xf numFmtId="0" fontId="17" fillId="4" borderId="5" xfId="0" applyFont="1" applyFill="1" applyBorder="1" applyAlignment="1">
      <alignment horizontal="center" vertical="center" wrapText="1" readingOrder="1"/>
    </xf>
    <xf numFmtId="37" fontId="12" fillId="0" borderId="9" xfId="2" applyNumberFormat="1" applyFont="1" applyBorder="1" applyAlignment="1">
      <alignment horizontal="center" vertical="center" wrapText="1" readingOrder="1"/>
    </xf>
    <xf numFmtId="10" fontId="10" fillId="5" borderId="8" xfId="1" applyNumberFormat="1" applyFont="1" applyFill="1" applyBorder="1" applyAlignment="1" applyProtection="1">
      <alignment horizontal="center" vertical="center" wrapText="1" readingOrder="1"/>
      <protection hidden="1"/>
    </xf>
    <xf numFmtId="0" fontId="10" fillId="5" borderId="8" xfId="0" applyFont="1" applyFill="1" applyBorder="1" applyAlignment="1" applyProtection="1">
      <alignment horizontal="center" vertical="center" wrapText="1" readingOrder="1"/>
      <protection hidden="1"/>
    </xf>
    <xf numFmtId="0" fontId="17" fillId="2" borderId="1" xfId="0" applyFont="1" applyFill="1" applyBorder="1" applyAlignment="1">
      <alignment horizontal="center" vertical="center" wrapText="1" readingOrder="1"/>
    </xf>
    <xf numFmtId="9" fontId="17" fillId="2" borderId="2" xfId="0" applyNumberFormat="1" applyFont="1" applyFill="1" applyBorder="1" applyAlignment="1">
      <alignment horizontal="center" vertical="center" wrapText="1" readingOrder="1"/>
    </xf>
    <xf numFmtId="0" fontId="5" fillId="2" borderId="49" xfId="0" applyFont="1" applyFill="1" applyBorder="1" applyAlignment="1">
      <alignment vertical="center" wrapText="1"/>
    </xf>
    <xf numFmtId="10" fontId="10" fillId="6" borderId="8" xfId="1" applyNumberFormat="1" applyFont="1" applyFill="1" applyBorder="1" applyAlignment="1" applyProtection="1">
      <alignment horizontal="center" vertical="center" wrapText="1" readingOrder="1"/>
      <protection hidden="1"/>
    </xf>
    <xf numFmtId="0" fontId="10" fillId="6" borderId="8" xfId="0" applyFont="1" applyFill="1" applyBorder="1" applyAlignment="1" applyProtection="1">
      <alignment horizontal="center" vertical="center" wrapText="1" readingOrder="1"/>
      <protection hidden="1"/>
    </xf>
    <xf numFmtId="10" fontId="10" fillId="18" borderId="8" xfId="1" applyNumberFormat="1" applyFont="1" applyFill="1" applyBorder="1" applyAlignment="1" applyProtection="1">
      <alignment horizontal="center" vertical="center" wrapText="1" readingOrder="1"/>
      <protection hidden="1"/>
    </xf>
    <xf numFmtId="0" fontId="10" fillId="18" borderId="8" xfId="0" applyFont="1" applyFill="1" applyBorder="1" applyAlignment="1" applyProtection="1">
      <alignment horizontal="center" vertical="center" wrapText="1" readingOrder="1"/>
      <protection hidden="1"/>
    </xf>
    <xf numFmtId="10" fontId="10" fillId="19" borderId="8" xfId="1" applyNumberFormat="1" applyFont="1" applyFill="1" applyBorder="1" applyAlignment="1" applyProtection="1">
      <alignment horizontal="center" vertical="center" wrapText="1" readingOrder="1"/>
      <protection hidden="1"/>
    </xf>
    <xf numFmtId="0" fontId="10" fillId="19" borderId="8" xfId="0" applyFont="1" applyFill="1" applyBorder="1" applyAlignment="1" applyProtection="1">
      <alignment horizontal="center" vertical="center" wrapText="1" readingOrder="1"/>
      <protection hidden="1"/>
    </xf>
    <xf numFmtId="9" fontId="17" fillId="2" borderId="1" xfId="0" applyNumberFormat="1" applyFont="1" applyFill="1" applyBorder="1" applyAlignment="1">
      <alignment horizontal="center" vertical="center" wrapText="1" readingOrder="1"/>
    </xf>
    <xf numFmtId="0" fontId="9" fillId="2" borderId="0" xfId="0" applyFont="1" applyFill="1" applyAlignment="1">
      <alignment vertical="center" wrapText="1"/>
    </xf>
    <xf numFmtId="0" fontId="17" fillId="4" borderId="49" xfId="0" applyFont="1" applyFill="1" applyBorder="1" applyAlignment="1">
      <alignment horizontal="center" vertical="center" wrapText="1" readingOrder="1"/>
    </xf>
    <xf numFmtId="0" fontId="17" fillId="2" borderId="49" xfId="0" applyFont="1" applyFill="1" applyBorder="1" applyAlignment="1">
      <alignment horizontal="center" vertical="center" wrapText="1" readingOrder="1"/>
    </xf>
    <xf numFmtId="0" fontId="5" fillId="0" borderId="50" xfId="0" applyFont="1" applyBorder="1" applyAlignment="1">
      <alignment vertical="center" wrapText="1"/>
    </xf>
    <xf numFmtId="0" fontId="12" fillId="0" borderId="7" xfId="0" applyFont="1" applyBorder="1" applyAlignment="1">
      <alignment horizontal="center" vertical="center" wrapText="1" readingOrder="1"/>
    </xf>
    <xf numFmtId="0" fontId="12" fillId="0" borderId="7" xfId="0" applyFont="1" applyBorder="1" applyAlignment="1">
      <alignment horizontal="justify" vertical="center" wrapText="1" readingOrder="1"/>
    </xf>
    <xf numFmtId="0" fontId="12" fillId="0" borderId="9" xfId="0" applyFont="1" applyBorder="1" applyAlignment="1">
      <alignment horizontal="center" vertical="center" wrapText="1" readingOrder="1"/>
    </xf>
    <xf numFmtId="0" fontId="12" fillId="0" borderId="9" xfId="0" applyFont="1" applyBorder="1" applyAlignment="1">
      <alignment horizontal="justify" vertical="center" wrapText="1" readingOrder="1"/>
    </xf>
    <xf numFmtId="0" fontId="10" fillId="6" borderId="8" xfId="0" applyFont="1" applyFill="1" applyBorder="1" applyAlignment="1">
      <alignment horizontal="center" vertical="center" wrapText="1" readingOrder="1"/>
    </xf>
    <xf numFmtId="0" fontId="10" fillId="5" borderId="8" xfId="0" applyFont="1" applyFill="1" applyBorder="1" applyAlignment="1">
      <alignment horizontal="center" vertical="center" wrapText="1" readingOrder="1"/>
    </xf>
    <xf numFmtId="0" fontId="9" fillId="0" borderId="8" xfId="4" applyFont="1" applyBorder="1" applyAlignment="1">
      <alignment horizontal="center" vertical="center" wrapText="1"/>
    </xf>
    <xf numFmtId="0" fontId="5" fillId="0" borderId="10" xfId="0" applyFont="1" applyBorder="1" applyAlignment="1">
      <alignment vertical="center" wrapText="1"/>
    </xf>
    <xf numFmtId="0" fontId="19" fillId="7" borderId="8" xfId="0" applyFont="1" applyFill="1" applyBorder="1" applyAlignment="1">
      <alignment horizontal="center" vertical="center" wrapText="1" readingOrder="1"/>
    </xf>
    <xf numFmtId="0" fontId="12" fillId="2" borderId="2" xfId="0" applyFont="1" applyFill="1" applyBorder="1" applyAlignment="1">
      <alignment horizontal="justify" vertical="center" wrapText="1" readingOrder="1"/>
    </xf>
    <xf numFmtId="0" fontId="17" fillId="7" borderId="8" xfId="0" applyFont="1" applyFill="1" applyBorder="1" applyAlignment="1">
      <alignment horizontal="center" vertical="center" wrapText="1" readingOrder="1"/>
    </xf>
    <xf numFmtId="0" fontId="19" fillId="7" borderId="8" xfId="3" applyFont="1" applyFill="1" applyBorder="1" applyAlignment="1">
      <alignment horizontal="center" vertical="center" wrapText="1"/>
    </xf>
    <xf numFmtId="0" fontId="10" fillId="7" borderId="8" xfId="4" applyFont="1" applyFill="1" applyBorder="1" applyAlignment="1">
      <alignment horizontal="center" vertical="center" wrapText="1"/>
    </xf>
    <xf numFmtId="0" fontId="9" fillId="7" borderId="8" xfId="4" applyFont="1" applyFill="1" applyBorder="1" applyAlignment="1">
      <alignment horizontal="center" vertical="center" wrapText="1"/>
    </xf>
    <xf numFmtId="0" fontId="6" fillId="8" borderId="8" xfId="0" applyFont="1" applyFill="1" applyBorder="1" applyAlignment="1">
      <alignment horizontal="center" vertical="center" wrapText="1"/>
    </xf>
    <xf numFmtId="0" fontId="9" fillId="0" borderId="8" xfId="0" applyFont="1" applyBorder="1" applyAlignment="1">
      <alignment horizontal="center" vertical="center" wrapText="1"/>
    </xf>
    <xf numFmtId="3" fontId="9" fillId="0" borderId="8" xfId="0" applyNumberFormat="1" applyFont="1" applyBorder="1" applyAlignment="1">
      <alignment horizontal="center" vertical="center" wrapText="1"/>
    </xf>
    <xf numFmtId="0" fontId="10" fillId="5"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7" fillId="7" borderId="9" xfId="0" applyFont="1" applyFill="1" applyBorder="1" applyAlignment="1">
      <alignment horizontal="center" vertical="center" wrapText="1" readingOrder="1"/>
    </xf>
    <xf numFmtId="0" fontId="12" fillId="0" borderId="9" xfId="0" applyFont="1" applyBorder="1" applyAlignment="1">
      <alignment horizontal="left" vertical="center" wrapText="1"/>
    </xf>
    <xf numFmtId="0" fontId="17" fillId="7" borderId="9" xfId="0" applyFont="1" applyFill="1" applyBorder="1" applyAlignment="1">
      <alignment horizontal="right" vertical="center" wrapText="1" readingOrder="1"/>
    </xf>
    <xf numFmtId="9" fontId="5" fillId="0" borderId="49" xfId="0" applyNumberFormat="1" applyFont="1" applyBorder="1" applyAlignment="1">
      <alignment horizontal="center" vertical="center" wrapText="1"/>
    </xf>
    <xf numFmtId="0" fontId="17" fillId="4" borderId="2" xfId="0" applyFont="1" applyFill="1" applyBorder="1" applyAlignment="1">
      <alignment vertical="center" wrapText="1" readingOrder="1"/>
    </xf>
    <xf numFmtId="0" fontId="8" fillId="0" borderId="0" xfId="0" applyFont="1" applyAlignment="1">
      <alignment horizontal="center" vertical="center" wrapText="1"/>
    </xf>
    <xf numFmtId="0" fontId="6" fillId="0" borderId="0" xfId="0" applyFont="1" applyAlignment="1">
      <alignment horizontal="center" vertical="center" wrapText="1"/>
    </xf>
    <xf numFmtId="9" fontId="5" fillId="0" borderId="0" xfId="0" applyNumberFormat="1" applyFont="1" applyAlignment="1">
      <alignment horizontal="center" vertical="center" wrapText="1"/>
    </xf>
    <xf numFmtId="0" fontId="10" fillId="21" borderId="0" xfId="0" applyFont="1" applyFill="1" applyAlignment="1">
      <alignment horizontal="center" vertical="center" wrapText="1"/>
    </xf>
    <xf numFmtId="0" fontId="6" fillId="12" borderId="0" xfId="0" applyFont="1" applyFill="1" applyAlignment="1">
      <alignment vertical="center" wrapText="1"/>
    </xf>
    <xf numFmtId="0" fontId="6" fillId="12" borderId="0" xfId="0" applyFont="1" applyFill="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165" fontId="5" fillId="0" borderId="0" xfId="1" applyNumberFormat="1" applyFont="1" applyFill="1" applyBorder="1" applyAlignment="1" applyProtection="1">
      <alignment horizontal="center" vertical="center" wrapText="1"/>
    </xf>
    <xf numFmtId="165" fontId="5" fillId="0" borderId="0" xfId="0" applyNumberFormat="1" applyFont="1" applyAlignment="1">
      <alignment horizontal="center" vertical="center" wrapText="1"/>
    </xf>
    <xf numFmtId="15" fontId="5"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left" vertical="center" wrapText="1"/>
      <protection locked="0"/>
    </xf>
    <xf numFmtId="15" fontId="5" fillId="0" borderId="0" xfId="0" applyNumberFormat="1" applyFont="1" applyAlignment="1" applyProtection="1">
      <alignment horizontal="center" vertical="center" wrapText="1"/>
      <protection locked="0"/>
    </xf>
    <xf numFmtId="0" fontId="5" fillId="0" borderId="0" xfId="0" applyFont="1" applyAlignment="1">
      <alignment horizontal="justify" vertical="center"/>
    </xf>
    <xf numFmtId="0" fontId="7" fillId="22" borderId="0" xfId="0" applyFont="1" applyFill="1" applyAlignment="1">
      <alignment horizontal="center" vertical="center" wrapText="1"/>
    </xf>
    <xf numFmtId="0" fontId="9" fillId="0" borderId="0" xfId="0" applyFont="1" applyAlignment="1" applyProtection="1">
      <alignment horizontal="center" vertical="center" wrapText="1"/>
      <protection locked="0"/>
    </xf>
    <xf numFmtId="0" fontId="7" fillId="0" borderId="49" xfId="0" applyFont="1" applyBorder="1" applyAlignment="1">
      <alignment horizontal="center" vertical="center" wrapText="1"/>
    </xf>
    <xf numFmtId="0" fontId="7" fillId="22" borderId="49" xfId="0" applyFont="1" applyFill="1" applyBorder="1" applyAlignment="1">
      <alignment horizontal="center" vertical="center" wrapText="1"/>
    </xf>
    <xf numFmtId="0" fontId="10" fillId="21" borderId="49" xfId="0" applyFont="1" applyFill="1" applyBorder="1" applyAlignment="1">
      <alignment horizontal="center" vertical="center" wrapText="1"/>
    </xf>
    <xf numFmtId="0" fontId="7" fillId="0" borderId="0" xfId="0" applyFont="1" applyAlignment="1">
      <alignment horizontal="center" vertical="center" wrapText="1"/>
    </xf>
    <xf numFmtId="0" fontId="10" fillId="31" borderId="0" xfId="0" applyFont="1" applyFill="1" applyAlignment="1">
      <alignment horizontal="center" vertical="center" wrapText="1"/>
    </xf>
    <xf numFmtId="0" fontId="5" fillId="13" borderId="61" xfId="0" applyFont="1" applyFill="1" applyBorder="1" applyAlignment="1" applyProtection="1">
      <alignment horizontal="center" vertical="center" wrapText="1"/>
      <protection locked="0"/>
    </xf>
    <xf numFmtId="0" fontId="5" fillId="13" borderId="62" xfId="0" applyFont="1" applyFill="1" applyBorder="1" applyAlignment="1" applyProtection="1">
      <alignment horizontal="center" vertical="center" wrapText="1"/>
      <protection locked="0"/>
    </xf>
    <xf numFmtId="0" fontId="5" fillId="13" borderId="63" xfId="0" applyFont="1" applyFill="1" applyBorder="1" applyAlignment="1" applyProtection="1">
      <alignment horizontal="center" vertical="center" wrapText="1"/>
      <protection locked="0"/>
    </xf>
    <xf numFmtId="0" fontId="5" fillId="13" borderId="61" xfId="0" applyFont="1" applyFill="1" applyBorder="1" applyAlignment="1" applyProtection="1">
      <alignment horizontal="left" vertical="center" wrapText="1"/>
      <protection locked="0"/>
    </xf>
    <xf numFmtId="0" fontId="5" fillId="13" borderId="62" xfId="0" applyFont="1" applyFill="1" applyBorder="1" applyAlignment="1" applyProtection="1">
      <alignment horizontal="left" vertical="center" wrapText="1"/>
      <protection locked="0"/>
    </xf>
    <xf numFmtId="0" fontId="5" fillId="13" borderId="62" xfId="0" applyFont="1" applyFill="1" applyBorder="1" applyAlignment="1" applyProtection="1">
      <alignment vertical="center" wrapText="1"/>
      <protection locked="0"/>
    </xf>
    <xf numFmtId="0" fontId="12" fillId="13" borderId="62" xfId="0" applyFont="1" applyFill="1" applyBorder="1" applyAlignment="1" applyProtection="1">
      <alignment horizontal="center" vertical="center" wrapText="1"/>
      <protection locked="0"/>
    </xf>
    <xf numFmtId="0" fontId="9" fillId="13" borderId="62" xfId="0" applyFont="1" applyFill="1" applyBorder="1" applyAlignment="1" applyProtection="1">
      <alignment horizontal="center" vertical="center" wrapText="1"/>
      <protection locked="0"/>
    </xf>
    <xf numFmtId="0" fontId="9" fillId="13" borderId="63" xfId="0" applyFont="1" applyFill="1" applyBorder="1" applyAlignment="1" applyProtection="1">
      <alignment horizontal="center" vertical="center" wrapText="1"/>
      <protection locked="0"/>
    </xf>
    <xf numFmtId="0" fontId="9" fillId="13" borderId="61" xfId="0" applyFont="1" applyFill="1" applyBorder="1" applyAlignment="1" applyProtection="1">
      <alignment horizontal="center" vertical="center" wrapText="1"/>
      <protection locked="0"/>
    </xf>
    <xf numFmtId="0" fontId="7" fillId="11" borderId="20" xfId="0" applyFont="1" applyFill="1" applyBorder="1" applyAlignment="1">
      <alignment horizontal="center" vertical="center" wrapText="1"/>
    </xf>
    <xf numFmtId="0" fontId="7" fillId="11" borderId="19" xfId="0" applyFont="1" applyFill="1" applyBorder="1" applyAlignment="1">
      <alignment horizontal="center" vertical="center" wrapText="1"/>
    </xf>
    <xf numFmtId="0" fontId="8" fillId="14" borderId="64" xfId="0" applyFont="1" applyFill="1" applyBorder="1" applyAlignment="1">
      <alignment horizontal="center" vertical="center" wrapText="1"/>
    </xf>
    <xf numFmtId="0" fontId="5" fillId="17" borderId="65" xfId="0" applyFont="1" applyFill="1" applyBorder="1" applyAlignment="1">
      <alignment horizontal="center" vertical="center" wrapText="1"/>
    </xf>
    <xf numFmtId="0" fontId="6" fillId="12" borderId="66" xfId="0" applyFont="1" applyFill="1" applyBorder="1" applyAlignment="1">
      <alignment vertical="center" wrapText="1"/>
    </xf>
    <xf numFmtId="0" fontId="6" fillId="12" borderId="66" xfId="0" applyFont="1" applyFill="1" applyBorder="1" applyAlignment="1">
      <alignment horizontal="center" vertical="center" wrapText="1"/>
    </xf>
    <xf numFmtId="0" fontId="6" fillId="12" borderId="67" xfId="0" applyFont="1" applyFill="1" applyBorder="1" applyAlignment="1">
      <alignment horizontal="center" vertical="center" wrapText="1"/>
    </xf>
    <xf numFmtId="0" fontId="5" fillId="17" borderId="68" xfId="0" applyFont="1" applyFill="1" applyBorder="1" applyAlignment="1">
      <alignment horizontal="center" vertical="center" wrapText="1"/>
    </xf>
    <xf numFmtId="0" fontId="6" fillId="12" borderId="69" xfId="0" applyFont="1" applyFill="1" applyBorder="1" applyAlignment="1">
      <alignment horizontal="center" vertical="center" wrapText="1"/>
    </xf>
    <xf numFmtId="0" fontId="5" fillId="17" borderId="70" xfId="0" applyFont="1" applyFill="1" applyBorder="1" applyAlignment="1">
      <alignment horizontal="center" vertical="center" wrapText="1"/>
    </xf>
    <xf numFmtId="0" fontId="6" fillId="12" borderId="71" xfId="0" applyFont="1" applyFill="1" applyBorder="1" applyAlignment="1">
      <alignment vertical="center" wrapText="1"/>
    </xf>
    <xf numFmtId="0" fontId="6" fillId="12" borderId="71" xfId="0" applyFont="1" applyFill="1" applyBorder="1" applyAlignment="1">
      <alignment horizontal="center" vertical="center" wrapText="1"/>
    </xf>
    <xf numFmtId="0" fontId="6" fillId="12" borderId="72" xfId="0" applyFont="1" applyFill="1" applyBorder="1" applyAlignment="1">
      <alignment horizontal="center" vertical="center" wrapText="1"/>
    </xf>
    <xf numFmtId="9" fontId="16" fillId="0" borderId="0" xfId="0" applyNumberFormat="1" applyFont="1" applyAlignment="1">
      <alignment horizontal="center" vertical="center" wrapText="1"/>
    </xf>
    <xf numFmtId="9" fontId="0" fillId="32" borderId="0" xfId="0" applyNumberFormat="1" applyFill="1" applyAlignment="1">
      <alignment horizontal="center" vertical="center" wrapText="1"/>
    </xf>
    <xf numFmtId="9" fontId="0" fillId="0" borderId="0" xfId="0" applyNumberFormat="1" applyAlignment="1">
      <alignment horizontal="center" vertical="center" wrapText="1"/>
    </xf>
    <xf numFmtId="0" fontId="16"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10" fillId="33" borderId="8" xfId="0" applyFont="1" applyFill="1" applyBorder="1" applyAlignment="1" applyProtection="1">
      <alignment horizontal="center" vertical="center" wrapText="1" readingOrder="1"/>
      <protection hidden="1"/>
    </xf>
    <xf numFmtId="0" fontId="26" fillId="18" borderId="8" xfId="0" applyFont="1" applyFill="1" applyBorder="1" applyAlignment="1" applyProtection="1">
      <alignment horizontal="center" vertical="center" wrapText="1" readingOrder="1"/>
      <protection hidden="1"/>
    </xf>
    <xf numFmtId="0" fontId="26" fillId="33" borderId="8" xfId="0" applyFont="1" applyFill="1" applyBorder="1" applyAlignment="1" applyProtection="1">
      <alignment horizontal="center" vertical="center" wrapText="1" readingOrder="1"/>
      <protection hidden="1"/>
    </xf>
    <xf numFmtId="0" fontId="27" fillId="18" borderId="8" xfId="0" applyFont="1" applyFill="1" applyBorder="1" applyAlignment="1" applyProtection="1">
      <alignment horizontal="center" vertical="center" wrapText="1" readingOrder="1"/>
      <protection hidden="1"/>
    </xf>
    <xf numFmtId="0" fontId="27" fillId="33" borderId="8" xfId="0" applyFont="1" applyFill="1" applyBorder="1" applyAlignment="1" applyProtection="1">
      <alignment horizontal="center" vertical="center" wrapText="1" readingOrder="1"/>
      <protection hidden="1"/>
    </xf>
    <xf numFmtId="0" fontId="26" fillId="6" borderId="8" xfId="0" applyFont="1" applyFill="1" applyBorder="1" applyAlignment="1">
      <alignment horizontal="center" vertical="center" wrapText="1" readingOrder="1"/>
    </xf>
    <xf numFmtId="0" fontId="27" fillId="6" borderId="8" xfId="0" applyFont="1" applyFill="1" applyBorder="1" applyAlignment="1">
      <alignment horizontal="center" vertical="center" wrapText="1" readingOrder="1"/>
    </xf>
    <xf numFmtId="0" fontId="10" fillId="4" borderId="8" xfId="0" applyFont="1" applyFill="1" applyBorder="1" applyAlignment="1" applyProtection="1">
      <alignment horizontal="center" vertical="center" wrapText="1" readingOrder="1"/>
      <protection hidden="1"/>
    </xf>
    <xf numFmtId="0" fontId="26" fillId="4" borderId="8" xfId="0" applyFont="1" applyFill="1" applyBorder="1" applyAlignment="1" applyProtection="1">
      <alignment horizontal="center" vertical="center" wrapText="1" readingOrder="1"/>
      <protection hidden="1"/>
    </xf>
    <xf numFmtId="0" fontId="27" fillId="4" borderId="8" xfId="0" applyFont="1" applyFill="1" applyBorder="1" applyAlignment="1" applyProtection="1">
      <alignment horizontal="center" vertical="center" wrapText="1" readingOrder="1"/>
      <protection hidden="1"/>
    </xf>
    <xf numFmtId="0" fontId="10" fillId="34" borderId="8" xfId="0" applyFont="1" applyFill="1" applyBorder="1" applyAlignment="1" applyProtection="1">
      <alignment horizontal="center" vertical="center" wrapText="1" readingOrder="1"/>
      <protection hidden="1"/>
    </xf>
    <xf numFmtId="0" fontId="29" fillId="18" borderId="8" xfId="0" applyFont="1" applyFill="1" applyBorder="1" applyAlignment="1" applyProtection="1">
      <alignment horizontal="center" vertical="center" wrapText="1" readingOrder="1"/>
      <protection hidden="1"/>
    </xf>
    <xf numFmtId="0" fontId="29" fillId="33" borderId="8" xfId="0" applyFont="1" applyFill="1" applyBorder="1" applyAlignment="1" applyProtection="1">
      <alignment horizontal="center" vertical="center" wrapText="1" readingOrder="1"/>
      <protection hidden="1"/>
    </xf>
    <xf numFmtId="0" fontId="29" fillId="6" borderId="8" xfId="0" applyFont="1" applyFill="1" applyBorder="1" applyAlignment="1">
      <alignment horizontal="center" vertical="center" wrapText="1" readingOrder="1"/>
    </xf>
    <xf numFmtId="0" fontId="29" fillId="4" borderId="8" xfId="0" applyFont="1" applyFill="1" applyBorder="1" applyAlignment="1" applyProtection="1">
      <alignment horizontal="center" vertical="center" wrapText="1" readingOrder="1"/>
      <protection hidden="1"/>
    </xf>
    <xf numFmtId="0" fontId="15" fillId="0" borderId="0" xfId="0" applyFont="1" applyAlignment="1">
      <alignment horizontal="center" vertical="center" wrapText="1"/>
    </xf>
    <xf numFmtId="0" fontId="0" fillId="0" borderId="73" xfId="0" applyBorder="1" applyAlignment="1">
      <alignment vertical="center" wrapText="1"/>
    </xf>
    <xf numFmtId="1" fontId="0" fillId="0" borderId="73" xfId="0" applyNumberFormat="1" applyBorder="1" applyAlignment="1">
      <alignment horizontal="center" vertical="center" wrapText="1"/>
    </xf>
    <xf numFmtId="1" fontId="0" fillId="0" borderId="0" xfId="0" applyNumberFormat="1" applyAlignment="1">
      <alignment horizontal="center" vertical="center" wrapText="1"/>
    </xf>
    <xf numFmtId="0" fontId="0" fillId="0" borderId="0" xfId="0" pivotButton="1" applyAlignment="1">
      <alignment vertical="center"/>
    </xf>
    <xf numFmtId="0" fontId="7" fillId="30" borderId="49" xfId="0" applyFont="1" applyFill="1" applyBorder="1" applyAlignment="1">
      <alignment horizontal="center" vertical="center" wrapText="1"/>
    </xf>
    <xf numFmtId="0" fontId="10" fillId="31" borderId="49" xfId="0" applyFont="1" applyFill="1" applyBorder="1" applyAlignment="1">
      <alignment horizontal="center" vertical="center" wrapText="1"/>
    </xf>
    <xf numFmtId="0" fontId="33" fillId="6" borderId="49" xfId="0" applyFont="1" applyFill="1" applyBorder="1" applyAlignment="1">
      <alignment horizontal="center" vertical="center" wrapText="1"/>
    </xf>
    <xf numFmtId="0" fontId="4" fillId="0" borderId="49" xfId="0" applyFont="1" applyBorder="1" applyAlignment="1">
      <alignment vertical="center" wrapText="1"/>
    </xf>
    <xf numFmtId="9" fontId="4" fillId="0" borderId="49" xfId="1" applyFont="1" applyBorder="1" applyAlignment="1">
      <alignment horizontal="center" vertical="center" wrapText="1"/>
    </xf>
    <xf numFmtId="165" fontId="4" fillId="0" borderId="49" xfId="1" applyNumberFormat="1" applyFont="1" applyBorder="1" applyAlignment="1">
      <alignment horizontal="center" vertical="center" wrapText="1"/>
    </xf>
    <xf numFmtId="0" fontId="3" fillId="0" borderId="49" xfId="0" applyFont="1" applyBorder="1" applyAlignment="1">
      <alignment horizontal="center" vertical="center" wrapText="1"/>
    </xf>
    <xf numFmtId="0" fontId="3" fillId="0" borderId="49" xfId="1" applyNumberFormat="1" applyFont="1" applyFill="1" applyBorder="1" applyAlignment="1">
      <alignment horizontal="center" vertical="center" wrapText="1"/>
    </xf>
    <xf numFmtId="15" fontId="3" fillId="0" borderId="49" xfId="0" applyNumberFormat="1" applyFont="1" applyBorder="1" applyAlignment="1">
      <alignment horizontal="center" vertical="center" wrapText="1"/>
    </xf>
    <xf numFmtId="9" fontId="3" fillId="0" borderId="49" xfId="1" applyFont="1" applyBorder="1" applyAlignment="1">
      <alignment horizontal="center" vertical="center" wrapText="1"/>
    </xf>
    <xf numFmtId="0" fontId="7" fillId="23" borderId="49" xfId="0" applyFont="1" applyFill="1" applyBorder="1" applyAlignment="1">
      <alignment horizontal="center" vertical="center" wrapText="1"/>
    </xf>
    <xf numFmtId="0" fontId="8" fillId="23" borderId="56" xfId="0" applyFont="1" applyFill="1" applyBorder="1" applyAlignment="1">
      <alignment horizontal="center" vertical="center" wrapText="1"/>
    </xf>
    <xf numFmtId="0" fontId="4" fillId="0" borderId="49" xfId="1" applyNumberFormat="1" applyFont="1" applyBorder="1" applyAlignment="1">
      <alignment horizontal="center" vertical="center" wrapText="1"/>
    </xf>
    <xf numFmtId="0" fontId="34" fillId="3" borderId="1" xfId="0" applyFont="1" applyFill="1" applyBorder="1" applyAlignment="1">
      <alignment horizontal="center" vertical="center" wrapText="1" readingOrder="1"/>
    </xf>
    <xf numFmtId="0" fontId="0" fillId="0" borderId="0" xfId="0" applyAlignment="1">
      <alignment horizontal="center" vertical="center"/>
    </xf>
    <xf numFmtId="0" fontId="0" fillId="0" borderId="73" xfId="0" applyBorder="1" applyAlignment="1">
      <alignment horizontal="center" vertical="center" wrapText="1"/>
    </xf>
    <xf numFmtId="0" fontId="6" fillId="9" borderId="80" xfId="0" applyFont="1" applyFill="1" applyBorder="1" applyAlignment="1" applyProtection="1">
      <alignment horizontal="center" vertical="center" wrapText="1"/>
      <protection locked="0"/>
    </xf>
    <xf numFmtId="0" fontId="6" fillId="35" borderId="0" xfId="0" applyFont="1" applyFill="1" applyAlignment="1">
      <alignment vertical="center" wrapText="1"/>
    </xf>
    <xf numFmtId="0" fontId="8" fillId="10" borderId="49" xfId="0" applyFont="1" applyFill="1" applyBorder="1" applyAlignment="1" applyProtection="1">
      <alignment horizontal="center" vertical="center" wrapText="1"/>
      <protection locked="0"/>
    </xf>
    <xf numFmtId="0" fontId="6" fillId="7" borderId="0" xfId="0" applyFont="1" applyFill="1" applyAlignment="1">
      <alignment horizontal="center" vertical="center" wrapText="1"/>
    </xf>
    <xf numFmtId="0" fontId="12" fillId="0" borderId="0" xfId="0" applyFont="1" applyAlignment="1">
      <alignment horizontal="left" vertical="center" wrapText="1"/>
    </xf>
    <xf numFmtId="0" fontId="12" fillId="2" borderId="1" xfId="0" applyFont="1" applyFill="1" applyBorder="1" applyAlignment="1">
      <alignment horizontal="justify" vertical="center" readingOrder="1"/>
    </xf>
    <xf numFmtId="0" fontId="35" fillId="0" borderId="0" xfId="6"/>
    <xf numFmtId="0" fontId="36" fillId="37" borderId="49" xfId="7" applyFont="1" applyFill="1" applyBorder="1" applyAlignment="1">
      <alignment horizontal="center" vertical="center" wrapText="1"/>
    </xf>
    <xf numFmtId="0" fontId="37" fillId="38" borderId="49" xfId="6" applyFont="1" applyFill="1" applyBorder="1" applyAlignment="1">
      <alignment horizontal="center" vertical="center" wrapText="1"/>
    </xf>
    <xf numFmtId="0" fontId="37" fillId="39" borderId="49" xfId="6" applyFont="1" applyFill="1" applyBorder="1" applyAlignment="1">
      <alignment horizontal="center" vertical="center" wrapText="1"/>
    </xf>
    <xf numFmtId="0" fontId="37" fillId="0" borderId="49" xfId="6" applyFont="1" applyBorder="1" applyAlignment="1">
      <alignment horizontal="center" vertical="center" wrapText="1"/>
    </xf>
    <xf numFmtId="0" fontId="37" fillId="0" borderId="49" xfId="7" applyFont="1" applyBorder="1" applyAlignment="1">
      <alignment horizontal="center" vertical="center" wrapText="1"/>
    </xf>
    <xf numFmtId="0" fontId="37" fillId="39" borderId="0" xfId="6" applyFont="1" applyFill="1" applyAlignment="1">
      <alignment horizontal="center" vertical="center" wrapText="1"/>
    </xf>
    <xf numFmtId="0" fontId="38" fillId="40" borderId="49" xfId="6" applyFont="1" applyFill="1" applyBorder="1" applyAlignment="1">
      <alignment horizontal="center" vertical="center" wrapText="1"/>
    </xf>
    <xf numFmtId="0" fontId="37" fillId="39" borderId="49" xfId="6" applyFont="1" applyFill="1" applyBorder="1" applyAlignment="1">
      <alignment horizontal="center" wrapText="1"/>
    </xf>
    <xf numFmtId="0" fontId="37" fillId="0" borderId="49" xfId="6" applyFont="1" applyBorder="1" applyAlignment="1">
      <alignment horizontal="center" wrapText="1"/>
    </xf>
    <xf numFmtId="0" fontId="37" fillId="2" borderId="49" xfId="6" applyFont="1" applyFill="1" applyBorder="1" applyAlignment="1">
      <alignment horizontal="center" vertical="center" wrapText="1"/>
    </xf>
    <xf numFmtId="0" fontId="36" fillId="41" borderId="49" xfId="0" applyFont="1" applyFill="1" applyBorder="1" applyAlignment="1">
      <alignment horizontal="center" wrapText="1"/>
    </xf>
    <xf numFmtId="0" fontId="37" fillId="2" borderId="49" xfId="0" applyFont="1" applyFill="1" applyBorder="1" applyAlignment="1">
      <alignment horizontal="left" vertical="center" wrapText="1"/>
    </xf>
    <xf numFmtId="0" fontId="37" fillId="39" borderId="49" xfId="0" applyFont="1" applyFill="1" applyBorder="1" applyAlignment="1">
      <alignment horizontal="left" vertical="center" wrapText="1"/>
    </xf>
    <xf numFmtId="0" fontId="10" fillId="9" borderId="14" xfId="3" applyFont="1" applyFill="1" applyBorder="1" applyAlignment="1">
      <alignment horizontal="center" vertical="center" wrapText="1"/>
    </xf>
    <xf numFmtId="0" fontId="27" fillId="6" borderId="15" xfId="0" applyFont="1" applyFill="1" applyBorder="1" applyAlignment="1">
      <alignment horizontal="center" vertical="center" wrapText="1" readingOrder="1"/>
    </xf>
    <xf numFmtId="0" fontId="27" fillId="6" borderId="82" xfId="0" applyFont="1" applyFill="1" applyBorder="1" applyAlignment="1">
      <alignment horizontal="center" vertical="center" wrapText="1" readingOrder="1"/>
    </xf>
    <xf numFmtId="0" fontId="10" fillId="9" borderId="23" xfId="3" applyFont="1" applyFill="1" applyBorder="1" applyAlignment="1">
      <alignment horizontal="center" vertical="center" wrapText="1"/>
    </xf>
    <xf numFmtId="0" fontId="10" fillId="4" borderId="23" xfId="0" applyFont="1" applyFill="1" applyBorder="1" applyAlignment="1" applyProtection="1">
      <alignment horizontal="center" vertical="center" wrapText="1" readingOrder="1"/>
      <protection hidden="1"/>
    </xf>
    <xf numFmtId="0" fontId="10" fillId="4" borderId="14" xfId="0" applyFont="1" applyFill="1" applyBorder="1" applyAlignment="1" applyProtection="1">
      <alignment horizontal="center" vertical="center" wrapText="1" readingOrder="1"/>
      <protection hidden="1"/>
    </xf>
    <xf numFmtId="0" fontId="27" fillId="6" borderId="83" xfId="0" applyFont="1" applyFill="1" applyBorder="1" applyAlignment="1">
      <alignment horizontal="center" vertical="center" wrapText="1" readingOrder="1"/>
    </xf>
    <xf numFmtId="0" fontId="27" fillId="4" borderId="81" xfId="0" applyFont="1" applyFill="1" applyBorder="1" applyAlignment="1" applyProtection="1">
      <alignment horizontal="center" vertical="center" wrapText="1" readingOrder="1"/>
      <protection hidden="1"/>
    </xf>
    <xf numFmtId="0" fontId="27" fillId="4" borderId="84" xfId="0" applyFont="1" applyFill="1" applyBorder="1" applyAlignment="1" applyProtection="1">
      <alignment horizontal="center" vertical="center" wrapText="1" readingOrder="1"/>
      <protection hidden="1"/>
    </xf>
    <xf numFmtId="0" fontId="8" fillId="0" borderId="49" xfId="0" applyFont="1" applyBorder="1" applyAlignment="1">
      <alignment horizontal="center" vertical="center" wrapText="1"/>
    </xf>
    <xf numFmtId="0" fontId="7" fillId="20" borderId="0" xfId="0" applyFont="1" applyFill="1" applyAlignment="1" applyProtection="1">
      <alignment horizontal="center" vertical="center" wrapText="1"/>
      <protection locked="0"/>
    </xf>
    <xf numFmtId="0" fontId="20" fillId="21" borderId="0" xfId="0" applyFont="1" applyFill="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22" fillId="20" borderId="87" xfId="0" applyFont="1" applyFill="1" applyBorder="1" applyAlignment="1" applyProtection="1">
      <alignment horizontal="center" vertical="center" wrapText="1"/>
      <protection locked="0"/>
    </xf>
    <xf numFmtId="0" fontId="8" fillId="43" borderId="49" xfId="0" applyFont="1" applyFill="1" applyBorder="1" applyAlignment="1" applyProtection="1">
      <alignment horizontal="center" vertical="center" wrapText="1"/>
      <protection hidden="1"/>
    </xf>
    <xf numFmtId="0" fontId="8" fillId="0" borderId="49" xfId="0" applyFont="1" applyBorder="1" applyAlignment="1" applyProtection="1">
      <alignment horizontal="center" vertical="center" wrapText="1"/>
      <protection hidden="1"/>
    </xf>
    <xf numFmtId="0" fontId="5" fillId="0" borderId="49" xfId="0" applyFont="1" applyBorder="1" applyAlignment="1">
      <alignment horizontal="center" vertical="center"/>
    </xf>
    <xf numFmtId="0" fontId="6" fillId="0" borderId="49" xfId="0" applyFont="1" applyBorder="1" applyAlignment="1">
      <alignment vertical="center" wrapText="1"/>
    </xf>
    <xf numFmtId="0" fontId="6" fillId="0" borderId="49" xfId="0" applyFont="1" applyBorder="1" applyAlignment="1">
      <alignment horizontal="center" vertical="center" wrapText="1"/>
    </xf>
    <xf numFmtId="0" fontId="5" fillId="0" borderId="49" xfId="0" applyFont="1" applyBorder="1" applyAlignment="1" applyProtection="1">
      <alignment vertical="center" wrapText="1"/>
      <protection locked="0"/>
    </xf>
    <xf numFmtId="0" fontId="5" fillId="0" borderId="49" xfId="0" applyFont="1" applyBorder="1" applyAlignment="1">
      <alignment vertical="center" wrapText="1"/>
    </xf>
    <xf numFmtId="0" fontId="9" fillId="0" borderId="49" xfId="0" applyFont="1" applyBorder="1" applyAlignment="1">
      <alignment vertical="center" wrapText="1"/>
    </xf>
    <xf numFmtId="3" fontId="5" fillId="0" borderId="49" xfId="0" applyNumberFormat="1" applyFont="1" applyBorder="1" applyAlignment="1" applyProtection="1">
      <alignment horizontal="center" vertical="center" wrapText="1"/>
      <protection locked="0"/>
    </xf>
    <xf numFmtId="3" fontId="5" fillId="0" borderId="49" xfId="0" applyNumberFormat="1" applyFont="1" applyBorder="1" applyAlignment="1" applyProtection="1">
      <alignment vertical="center" wrapText="1"/>
      <protection locked="0"/>
    </xf>
    <xf numFmtId="0" fontId="5" fillId="0" borderId="49" xfId="0" applyFont="1" applyBorder="1" applyAlignment="1" applyProtection="1">
      <alignment horizontal="center" vertical="center" wrapText="1"/>
      <protection locked="0"/>
    </xf>
    <xf numFmtId="0" fontId="12" fillId="0" borderId="49" xfId="0" applyFont="1" applyBorder="1" applyAlignment="1">
      <alignment horizontal="center" vertical="center" wrapText="1" readingOrder="1"/>
    </xf>
    <xf numFmtId="9" fontId="6" fillId="0" borderId="49" xfId="1" applyFont="1" applyFill="1" applyBorder="1" applyAlignment="1" applyProtection="1">
      <alignment horizontal="center" vertical="center" wrapText="1"/>
    </xf>
    <xf numFmtId="165" fontId="6" fillId="0" borderId="49" xfId="0" applyNumberFormat="1" applyFont="1" applyBorder="1" applyAlignment="1">
      <alignment horizontal="center" vertical="center" wrapText="1"/>
    </xf>
    <xf numFmtId="165" fontId="6" fillId="0" borderId="49" xfId="0" applyNumberFormat="1" applyFont="1" applyBorder="1" applyAlignment="1">
      <alignment horizontal="left" vertical="center" wrapText="1"/>
    </xf>
    <xf numFmtId="0" fontId="9" fillId="0" borderId="49" xfId="0" applyFont="1" applyBorder="1" applyAlignment="1" applyProtection="1">
      <alignment vertical="center" wrapText="1"/>
      <protection locked="0"/>
    </xf>
    <xf numFmtId="14" fontId="5" fillId="0" borderId="49" xfId="0" applyNumberFormat="1" applyFont="1" applyBorder="1" applyAlignment="1" applyProtection="1">
      <alignment vertical="center" wrapText="1"/>
      <protection locked="0"/>
    </xf>
    <xf numFmtId="0" fontId="6" fillId="0" borderId="49" xfId="0" applyFont="1" applyBorder="1" applyAlignment="1" applyProtection="1">
      <alignment vertical="center" wrapText="1"/>
      <protection locked="0"/>
    </xf>
    <xf numFmtId="0" fontId="6" fillId="0" borderId="49" xfId="0" applyFont="1" applyBorder="1" applyAlignment="1" applyProtection="1">
      <alignment horizontal="center" vertical="center" wrapText="1"/>
      <protection locked="0"/>
    </xf>
    <xf numFmtId="0" fontId="8" fillId="42" borderId="49" xfId="0" applyFont="1" applyFill="1" applyBorder="1" applyAlignment="1" applyProtection="1">
      <alignment horizontal="center" vertical="center" wrapText="1"/>
      <protection hidden="1"/>
    </xf>
    <xf numFmtId="0" fontId="7" fillId="15" borderId="49" xfId="0" applyFont="1" applyFill="1" applyBorder="1" applyAlignment="1" applyProtection="1">
      <alignment horizontal="center" vertical="center" wrapText="1"/>
      <protection hidden="1"/>
    </xf>
    <xf numFmtId="0" fontId="22" fillId="20" borderId="49" xfId="0" applyFont="1" applyFill="1" applyBorder="1" applyAlignment="1" applyProtection="1">
      <alignment horizontal="center" vertical="center" wrapText="1"/>
      <protection locked="0"/>
    </xf>
    <xf numFmtId="0" fontId="22" fillId="20" borderId="87" xfId="0" applyFont="1" applyFill="1" applyBorder="1" applyAlignment="1" applyProtection="1">
      <alignment horizontal="center" vertical="center" wrapText="1"/>
      <protection locked="0"/>
    </xf>
    <xf numFmtId="0" fontId="7" fillId="20" borderId="54" xfId="0" applyFont="1" applyFill="1" applyBorder="1" applyAlignment="1" applyProtection="1">
      <alignment horizontal="center" vertical="center" wrapText="1"/>
      <protection locked="0"/>
    </xf>
    <xf numFmtId="0" fontId="7" fillId="20" borderId="57" xfId="0" applyFont="1" applyFill="1" applyBorder="1" applyAlignment="1" applyProtection="1">
      <alignment horizontal="center" vertical="center" wrapText="1"/>
      <protection locked="0"/>
    </xf>
    <xf numFmtId="0" fontId="20" fillId="21" borderId="85" xfId="0" applyFont="1" applyFill="1" applyBorder="1" applyAlignment="1" applyProtection="1">
      <alignment horizontal="center" vertical="center" wrapText="1"/>
      <protection locked="0"/>
    </xf>
    <xf numFmtId="0" fontId="20" fillId="21" borderId="86" xfId="0" applyFont="1" applyFill="1" applyBorder="1" applyAlignment="1" applyProtection="1">
      <alignment horizontal="center" vertical="center" wrapText="1"/>
      <protection locked="0"/>
    </xf>
    <xf numFmtId="0" fontId="7" fillId="25" borderId="49" xfId="0" applyFont="1" applyFill="1" applyBorder="1" applyAlignment="1" applyProtection="1">
      <alignment horizontal="center" vertical="center" wrapText="1"/>
      <protection locked="0"/>
    </xf>
    <xf numFmtId="0" fontId="7" fillId="24" borderId="49" xfId="0" applyFont="1" applyFill="1" applyBorder="1" applyAlignment="1" applyProtection="1">
      <alignment horizontal="center" vertical="center" wrapText="1"/>
      <protection locked="0"/>
    </xf>
    <xf numFmtId="0" fontId="8" fillId="30" borderId="49" xfId="0" applyFont="1" applyFill="1" applyBorder="1" applyAlignment="1" applyProtection="1">
      <alignment horizontal="center" vertical="center" wrapText="1"/>
      <protection locked="0"/>
    </xf>
    <xf numFmtId="0" fontId="8" fillId="29" borderId="49" xfId="0" applyFont="1" applyFill="1" applyBorder="1" applyAlignment="1" applyProtection="1">
      <alignment horizontal="center" vertical="center" wrapText="1"/>
      <protection locked="0"/>
    </xf>
    <xf numFmtId="0" fontId="8" fillId="26" borderId="49" xfId="0" applyFont="1" applyFill="1" applyBorder="1" applyAlignment="1" applyProtection="1">
      <alignment horizontal="center" vertical="center" wrapText="1"/>
      <protection locked="0"/>
    </xf>
    <xf numFmtId="0" fontId="22" fillId="20" borderId="79" xfId="0" applyFont="1" applyFill="1" applyBorder="1" applyAlignment="1" applyProtection="1">
      <alignment horizontal="center" vertical="center" wrapText="1"/>
      <protection locked="0"/>
    </xf>
    <xf numFmtId="0" fontId="22" fillId="20" borderId="0" xfId="0" applyFont="1" applyFill="1" applyAlignment="1" applyProtection="1">
      <alignment horizontal="center" vertical="center" wrapText="1"/>
      <protection locked="0"/>
    </xf>
    <xf numFmtId="0" fontId="8" fillId="28" borderId="49" xfId="0" applyFont="1" applyFill="1" applyBorder="1" applyAlignment="1" applyProtection="1">
      <alignment horizontal="center" vertical="center" wrapText="1"/>
      <protection locked="0"/>
    </xf>
    <xf numFmtId="0" fontId="8" fillId="27" borderId="49" xfId="0" applyFont="1" applyFill="1" applyBorder="1" applyAlignment="1" applyProtection="1">
      <alignment horizontal="center" vertical="center" wrapText="1"/>
      <protection locked="0"/>
    </xf>
    <xf numFmtId="0" fontId="24" fillId="26" borderId="49" xfId="0" applyFont="1" applyFill="1" applyBorder="1" applyAlignment="1" applyProtection="1">
      <alignment horizontal="center" vertical="center" wrapText="1"/>
      <protection locked="0"/>
    </xf>
    <xf numFmtId="0" fontId="24" fillId="10" borderId="49" xfId="0" applyFont="1" applyFill="1" applyBorder="1" applyAlignment="1" applyProtection="1">
      <alignment horizontal="center" vertical="center" wrapText="1"/>
      <protection locked="0"/>
    </xf>
    <xf numFmtId="0" fontId="16" fillId="0" borderId="0" xfId="0" applyFont="1" applyAlignment="1">
      <alignment horizontal="center" vertical="center" wrapText="1"/>
    </xf>
    <xf numFmtId="0" fontId="7" fillId="15" borderId="12" xfId="0" applyFont="1" applyFill="1" applyBorder="1" applyAlignment="1" applyProtection="1">
      <alignment horizontal="center" vertical="center" wrapText="1"/>
      <protection locked="0"/>
    </xf>
    <xf numFmtId="0" fontId="7" fillId="15" borderId="13" xfId="0" applyFont="1" applyFill="1" applyBorder="1" applyAlignment="1" applyProtection="1">
      <alignment horizontal="center" vertical="center" wrapText="1"/>
      <protection locked="0"/>
    </xf>
    <xf numFmtId="0" fontId="7" fillId="15" borderId="21" xfId="0" applyFont="1" applyFill="1" applyBorder="1" applyAlignment="1" applyProtection="1">
      <alignment horizontal="center" vertical="center" wrapText="1"/>
      <protection locked="0"/>
    </xf>
    <xf numFmtId="0" fontId="7" fillId="15" borderId="17" xfId="0" applyFont="1" applyFill="1" applyBorder="1" applyAlignment="1" applyProtection="1">
      <alignment horizontal="center" vertical="center" wrapText="1"/>
      <protection locked="0"/>
    </xf>
    <xf numFmtId="0" fontId="6" fillId="9" borderId="14" xfId="0" applyFont="1" applyFill="1" applyBorder="1" applyAlignment="1" applyProtection="1">
      <alignment horizontal="center" vertical="center" wrapText="1"/>
      <protection locked="0"/>
    </xf>
    <xf numFmtId="0" fontId="6" fillId="9" borderId="16" xfId="0" applyFont="1" applyFill="1" applyBorder="1" applyAlignment="1" applyProtection="1">
      <alignment horizontal="center" vertical="center" wrapText="1"/>
      <protection locked="0"/>
    </xf>
    <xf numFmtId="0" fontId="6" fillId="9" borderId="15" xfId="0" applyFont="1" applyFill="1" applyBorder="1" applyAlignment="1" applyProtection="1">
      <alignment horizontal="center" vertical="center" wrapText="1"/>
      <protection locked="0"/>
    </xf>
    <xf numFmtId="0" fontId="6" fillId="9" borderId="51" xfId="0" applyFont="1" applyFill="1" applyBorder="1" applyAlignment="1" applyProtection="1">
      <alignment horizontal="center" vertical="center" wrapText="1"/>
      <protection locked="0"/>
    </xf>
    <xf numFmtId="0" fontId="7" fillId="15" borderId="24" xfId="0" applyFont="1" applyFill="1" applyBorder="1" applyAlignment="1" applyProtection="1">
      <alignment horizontal="center" vertical="center" wrapText="1"/>
      <protection locked="0"/>
    </xf>
    <xf numFmtId="0" fontId="7" fillId="15" borderId="52" xfId="0" applyFont="1" applyFill="1" applyBorder="1" applyAlignment="1" applyProtection="1">
      <alignment horizontal="center" vertical="center" wrapText="1"/>
      <protection locked="0"/>
    </xf>
    <xf numFmtId="0" fontId="8" fillId="20" borderId="0" xfId="0" applyFont="1" applyFill="1" applyAlignment="1" applyProtection="1">
      <alignment horizontal="center" vertical="center" wrapText="1"/>
      <protection locked="0"/>
    </xf>
    <xf numFmtId="0" fontId="8" fillId="20" borderId="11" xfId="0" applyFont="1" applyFill="1" applyBorder="1" applyAlignment="1" applyProtection="1">
      <alignment horizontal="center" vertical="center" wrapText="1"/>
      <protection locked="0"/>
    </xf>
    <xf numFmtId="0" fontId="4" fillId="0" borderId="50" xfId="0" applyFont="1" applyBorder="1" applyAlignment="1">
      <alignment horizontal="center" vertical="center"/>
    </xf>
    <xf numFmtId="0" fontId="4" fillId="0" borderId="74" xfId="0" applyFont="1" applyBorder="1" applyAlignment="1">
      <alignment horizontal="center" vertical="center"/>
    </xf>
    <xf numFmtId="0" fontId="20" fillId="0" borderId="50"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74" xfId="0" applyFont="1" applyBorder="1" applyAlignment="1">
      <alignment horizontal="center" vertical="center" wrapText="1"/>
    </xf>
    <xf numFmtId="0" fontId="3" fillId="0" borderId="50" xfId="0" applyFont="1" applyBorder="1" applyAlignment="1">
      <alignment horizontal="left" vertical="center" wrapText="1"/>
    </xf>
    <xf numFmtId="0" fontId="3" fillId="0" borderId="58" xfId="0" applyFont="1" applyBorder="1" applyAlignment="1">
      <alignment horizontal="left" vertical="center" wrapText="1"/>
    </xf>
    <xf numFmtId="0" fontId="3" fillId="0" borderId="74" xfId="0" applyFont="1" applyBorder="1" applyAlignment="1">
      <alignment horizontal="left" vertical="center" wrapText="1"/>
    </xf>
    <xf numFmtId="0" fontId="3" fillId="0" borderId="49" xfId="0" applyFont="1" applyBorder="1" applyAlignment="1">
      <alignment horizontal="center" vertical="center" wrapText="1"/>
    </xf>
    <xf numFmtId="0" fontId="20" fillId="0" borderId="49" xfId="0" applyFont="1" applyBorder="1" applyAlignment="1">
      <alignment horizontal="center" vertical="center" wrapText="1"/>
    </xf>
    <xf numFmtId="0" fontId="4" fillId="0" borderId="0" xfId="0" applyFont="1" applyAlignment="1">
      <alignment horizontal="left" vertical="center" wrapText="1"/>
    </xf>
    <xf numFmtId="0" fontId="21" fillId="24" borderId="0" xfId="0" applyFont="1" applyFill="1" applyAlignment="1" applyProtection="1">
      <alignment horizontal="center" vertical="center" wrapText="1"/>
      <protection locked="0"/>
    </xf>
    <xf numFmtId="0" fontId="21" fillId="24" borderId="75" xfId="0" applyFont="1" applyFill="1" applyBorder="1" applyAlignment="1" applyProtection="1">
      <alignment horizontal="center" vertical="center" wrapText="1"/>
      <protection locked="0"/>
    </xf>
    <xf numFmtId="0" fontId="24" fillId="27" borderId="76" xfId="0" applyFont="1" applyFill="1" applyBorder="1" applyAlignment="1" applyProtection="1">
      <alignment horizontal="center" vertical="center" wrapText="1"/>
      <protection locked="0"/>
    </xf>
    <xf numFmtId="0" fontId="24" fillId="27" borderId="77" xfId="0" applyFont="1" applyFill="1" applyBorder="1" applyAlignment="1" applyProtection="1">
      <alignment horizontal="center" vertical="center" wrapText="1"/>
      <protection locked="0"/>
    </xf>
    <xf numFmtId="0" fontId="24" fillId="27" borderId="78" xfId="0" applyFont="1" applyFill="1" applyBorder="1" applyAlignment="1" applyProtection="1">
      <alignment horizontal="center" vertical="center" wrapText="1"/>
      <protection locked="0"/>
    </xf>
    <xf numFmtId="0" fontId="24" fillId="14" borderId="50" xfId="0" applyFont="1" applyFill="1" applyBorder="1" applyAlignment="1" applyProtection="1">
      <alignment horizontal="center" vertical="center" wrapText="1"/>
      <protection locked="0"/>
    </xf>
    <xf numFmtId="0" fontId="24" fillId="14" borderId="58" xfId="0" applyFont="1" applyFill="1" applyBorder="1" applyAlignment="1" applyProtection="1">
      <alignment horizontal="center" vertical="center" wrapText="1"/>
      <protection locked="0"/>
    </xf>
    <xf numFmtId="0" fontId="24" fillId="14" borderId="74" xfId="0" applyFont="1" applyFill="1" applyBorder="1" applyAlignment="1" applyProtection="1">
      <alignment horizontal="center" vertical="center" wrapText="1"/>
      <protection locked="0"/>
    </xf>
    <xf numFmtId="0" fontId="21" fillId="25" borderId="77" xfId="0" applyFont="1" applyFill="1" applyBorder="1" applyAlignment="1" applyProtection="1">
      <alignment horizontal="center" vertical="center" wrapText="1"/>
      <protection locked="0"/>
    </xf>
    <xf numFmtId="0" fontId="21" fillId="25" borderId="78" xfId="0" applyFont="1" applyFill="1" applyBorder="1" applyAlignment="1" applyProtection="1">
      <alignment horizontal="center" vertical="center" wrapText="1"/>
      <protection locked="0"/>
    </xf>
    <xf numFmtId="0" fontId="24" fillId="28" borderId="50" xfId="0" applyFont="1" applyFill="1" applyBorder="1" applyAlignment="1" applyProtection="1">
      <alignment horizontal="center" vertical="center" wrapText="1"/>
      <protection locked="0"/>
    </xf>
    <xf numFmtId="0" fontId="24" fillId="28" borderId="58" xfId="0" applyFont="1" applyFill="1" applyBorder="1" applyAlignment="1" applyProtection="1">
      <alignment horizontal="center" vertical="center" wrapText="1"/>
      <protection locked="0"/>
    </xf>
    <xf numFmtId="0" fontId="24" fillId="28" borderId="74" xfId="0" applyFont="1" applyFill="1" applyBorder="1" applyAlignment="1" applyProtection="1">
      <alignment horizontal="center" vertical="center" wrapText="1"/>
      <protection locked="0"/>
    </xf>
    <xf numFmtId="0" fontId="8" fillId="10" borderId="49" xfId="0" applyFont="1" applyFill="1" applyBorder="1" applyAlignment="1" applyProtection="1">
      <alignment horizontal="center" vertical="center" wrapText="1"/>
      <protection locked="0"/>
    </xf>
    <xf numFmtId="0" fontId="8" fillId="28" borderId="50" xfId="0" applyFont="1" applyFill="1" applyBorder="1" applyAlignment="1" applyProtection="1">
      <alignment horizontal="center" vertical="center" wrapText="1"/>
      <protection locked="0"/>
    </xf>
    <xf numFmtId="0" fontId="8" fillId="28" borderId="74" xfId="0" applyFont="1" applyFill="1" applyBorder="1" applyAlignment="1" applyProtection="1">
      <alignment horizontal="center" vertical="center" wrapText="1"/>
      <protection locked="0"/>
    </xf>
    <xf numFmtId="0" fontId="24" fillId="30" borderId="50" xfId="0" applyFont="1" applyFill="1" applyBorder="1" applyAlignment="1" applyProtection="1">
      <alignment horizontal="center" vertical="center" wrapText="1"/>
      <protection locked="0"/>
    </xf>
    <xf numFmtId="0" fontId="24" fillId="30" borderId="58" xfId="0" applyFont="1" applyFill="1" applyBorder="1" applyAlignment="1" applyProtection="1">
      <alignment horizontal="center" vertical="center" wrapText="1"/>
      <protection locked="0"/>
    </xf>
    <xf numFmtId="0" fontId="24" fillId="30" borderId="74" xfId="0" applyFont="1" applyFill="1" applyBorder="1" applyAlignment="1" applyProtection="1">
      <alignment horizontal="center" vertical="center" wrapText="1"/>
      <protection locked="0"/>
    </xf>
    <xf numFmtId="0" fontId="20" fillId="0" borderId="0" xfId="0" applyFont="1" applyAlignment="1">
      <alignment horizontal="center" vertical="center" wrapText="1"/>
    </xf>
    <xf numFmtId="0" fontId="4" fillId="0" borderId="0" xfId="0" applyFont="1" applyAlignment="1">
      <alignment horizontal="center" vertical="center" wrapText="1"/>
    </xf>
    <xf numFmtId="0" fontId="4" fillId="0" borderId="71" xfId="0" applyFont="1" applyBorder="1" applyAlignment="1">
      <alignment horizontal="center" vertical="center" wrapText="1"/>
    </xf>
    <xf numFmtId="0" fontId="8" fillId="27" borderId="50" xfId="0" applyFont="1" applyFill="1" applyBorder="1" applyAlignment="1" applyProtection="1">
      <alignment horizontal="center" vertical="center" wrapText="1"/>
      <protection locked="0"/>
    </xf>
    <xf numFmtId="0" fontId="8" fillId="27" borderId="74" xfId="0" applyFont="1" applyFill="1" applyBorder="1" applyAlignment="1" applyProtection="1">
      <alignment horizontal="center" vertical="center" wrapText="1"/>
      <protection locked="0"/>
    </xf>
    <xf numFmtId="0" fontId="21" fillId="23" borderId="55" xfId="0" applyFont="1" applyFill="1" applyBorder="1" applyAlignment="1">
      <alignment horizontal="center" vertical="center" wrapText="1"/>
    </xf>
    <xf numFmtId="0" fontId="10" fillId="31" borderId="59" xfId="0" applyFont="1" applyFill="1" applyBorder="1" applyAlignment="1">
      <alignment horizontal="center" vertical="center" wrapText="1"/>
    </xf>
    <xf numFmtId="0" fontId="10" fillId="31" borderId="60" xfId="0" applyFont="1" applyFill="1" applyBorder="1" applyAlignment="1">
      <alignment horizontal="center" vertical="center" wrapText="1"/>
    </xf>
    <xf numFmtId="0" fontId="21" fillId="22" borderId="54" xfId="0" applyFont="1" applyFill="1" applyBorder="1" applyAlignment="1" applyProtection="1">
      <alignment horizontal="center" vertical="center" wrapText="1"/>
      <protection locked="0"/>
    </xf>
    <xf numFmtId="0" fontId="21" fillId="22" borderId="57" xfId="0" applyFont="1" applyFill="1" applyBorder="1" applyAlignment="1" applyProtection="1">
      <alignment horizontal="center" vertical="center" wrapText="1"/>
      <protection locked="0"/>
    </xf>
    <xf numFmtId="0" fontId="8" fillId="27" borderId="58" xfId="0" applyFont="1" applyFill="1" applyBorder="1" applyAlignment="1" applyProtection="1">
      <alignment horizontal="center" vertical="center" wrapText="1"/>
      <protection locked="0"/>
    </xf>
    <xf numFmtId="0" fontId="23" fillId="20" borderId="49" xfId="0" applyFont="1" applyFill="1" applyBorder="1" applyAlignment="1" applyProtection="1">
      <alignment horizontal="center" vertical="center" wrapText="1"/>
      <protection locked="0"/>
    </xf>
    <xf numFmtId="0" fontId="24" fillId="14" borderId="49" xfId="0" applyFont="1" applyFill="1" applyBorder="1" applyAlignment="1" applyProtection="1">
      <alignment horizontal="center" vertical="center" wrapText="1"/>
      <protection locked="0"/>
    </xf>
    <xf numFmtId="0" fontId="24" fillId="30" borderId="49" xfId="0" applyFont="1" applyFill="1" applyBorder="1" applyAlignment="1" applyProtection="1">
      <alignment horizontal="center" vertical="center" wrapText="1"/>
      <protection locked="0"/>
    </xf>
    <xf numFmtId="0" fontId="5" fillId="0" borderId="49" xfId="0" applyFont="1" applyBorder="1" applyAlignment="1">
      <alignment horizontal="center" vertical="center" wrapText="1"/>
    </xf>
    <xf numFmtId="0" fontId="17" fillId="2" borderId="1" xfId="0" applyFont="1" applyFill="1" applyBorder="1" applyAlignment="1">
      <alignment horizontal="center" vertical="center" wrapText="1" readingOrder="1"/>
    </xf>
    <xf numFmtId="0" fontId="30" fillId="7" borderId="11" xfId="0" applyFont="1" applyFill="1" applyBorder="1" applyAlignment="1">
      <alignment horizontal="center" vertical="center" wrapText="1"/>
    </xf>
    <xf numFmtId="0" fontId="28" fillId="7" borderId="53" xfId="0" applyFont="1" applyFill="1" applyBorder="1" applyAlignment="1">
      <alignment horizontal="center" vertical="center" textRotation="90" wrapText="1"/>
    </xf>
    <xf numFmtId="0" fontId="28" fillId="7" borderId="13" xfId="0" applyFont="1" applyFill="1" applyBorder="1" applyAlignment="1">
      <alignment horizontal="center" vertical="center" wrapText="1"/>
    </xf>
    <xf numFmtId="0" fontId="17" fillId="3" borderId="2" xfId="0" applyFont="1" applyFill="1" applyBorder="1" applyAlignment="1">
      <alignment horizontal="center" vertical="center" wrapText="1" readingOrder="1"/>
    </xf>
    <xf numFmtId="0" fontId="17" fillId="3" borderId="3" xfId="0" applyFont="1" applyFill="1" applyBorder="1" applyAlignment="1">
      <alignment horizontal="center" vertical="center" wrapText="1" readingOrder="1"/>
    </xf>
    <xf numFmtId="0" fontId="17" fillId="3" borderId="4"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10" fillId="3" borderId="5" xfId="0" applyFont="1" applyFill="1" applyBorder="1" applyAlignment="1">
      <alignment horizontal="center" vertical="center" wrapText="1" readingOrder="1"/>
    </xf>
    <xf numFmtId="0" fontId="10" fillId="3" borderId="6" xfId="0" applyFont="1" applyFill="1" applyBorder="1" applyAlignment="1">
      <alignment horizontal="center" vertical="center" wrapText="1" readingOrder="1"/>
    </xf>
    <xf numFmtId="0" fontId="17" fillId="4" borderId="2" xfId="0" applyFont="1" applyFill="1" applyBorder="1" applyAlignment="1">
      <alignment horizontal="center" vertical="center" wrapText="1" readingOrder="1"/>
    </xf>
    <xf numFmtId="0" fontId="17" fillId="4" borderId="3" xfId="0" applyFont="1" applyFill="1" applyBorder="1" applyAlignment="1">
      <alignment horizontal="center" vertical="center" wrapText="1" readingOrder="1"/>
    </xf>
    <xf numFmtId="0" fontId="6" fillId="7" borderId="11" xfId="0" applyFont="1" applyFill="1" applyBorder="1" applyAlignment="1">
      <alignment horizontal="center" vertical="center" wrapText="1"/>
    </xf>
    <xf numFmtId="0" fontId="34" fillId="3" borderId="2" xfId="0" applyFont="1" applyFill="1" applyBorder="1" applyAlignment="1">
      <alignment horizontal="center" vertical="center" wrapText="1" readingOrder="1"/>
    </xf>
    <xf numFmtId="0" fontId="34" fillId="3" borderId="3" xfId="0" applyFont="1" applyFill="1" applyBorder="1" applyAlignment="1">
      <alignment horizontal="center" vertical="center" wrapText="1" readingOrder="1"/>
    </xf>
    <xf numFmtId="0" fontId="34" fillId="3" borderId="4" xfId="0" applyFont="1" applyFill="1" applyBorder="1" applyAlignment="1">
      <alignment horizontal="center" vertical="center" wrapText="1" readingOrder="1"/>
    </xf>
    <xf numFmtId="0" fontId="18" fillId="3" borderId="2" xfId="0" applyFont="1" applyFill="1" applyBorder="1" applyAlignment="1">
      <alignment horizontal="center" vertical="center" wrapText="1" readingOrder="1"/>
    </xf>
    <xf numFmtId="0" fontId="18" fillId="3" borderId="4" xfId="0" applyFont="1" applyFill="1" applyBorder="1" applyAlignment="1">
      <alignment horizontal="center" vertical="center" wrapText="1" readingOrder="1"/>
    </xf>
    <xf numFmtId="0" fontId="17" fillId="4" borderId="4" xfId="0" applyFont="1" applyFill="1" applyBorder="1" applyAlignment="1">
      <alignment horizontal="center" vertical="center" wrapText="1" readingOrder="1"/>
    </xf>
    <xf numFmtId="9" fontId="25" fillId="32" borderId="0" xfId="0" applyNumberFormat="1" applyFont="1" applyFill="1" applyAlignment="1">
      <alignment horizontal="center" vertical="center" wrapText="1"/>
    </xf>
    <xf numFmtId="9" fontId="0" fillId="0" borderId="0" xfId="0" applyNumberFormat="1" applyAlignment="1">
      <alignment horizontal="right" vertical="center" wrapText="1"/>
    </xf>
    <xf numFmtId="0" fontId="31" fillId="7" borderId="11" xfId="0" applyFont="1" applyFill="1" applyBorder="1" applyAlignment="1">
      <alignment horizontal="center" vertical="center" wrapText="1"/>
    </xf>
    <xf numFmtId="0" fontId="25" fillId="32" borderId="0" xfId="0" applyFont="1" applyFill="1" applyAlignment="1">
      <alignment horizontal="center" vertical="center" wrapText="1"/>
    </xf>
    <xf numFmtId="0" fontId="32" fillId="7" borderId="11" xfId="0" applyFont="1" applyFill="1" applyBorder="1" applyAlignment="1">
      <alignment horizontal="center" vertical="center" wrapText="1"/>
    </xf>
    <xf numFmtId="0" fontId="36" fillId="36" borderId="76" xfId="6" applyFont="1" applyFill="1" applyBorder="1" applyAlignment="1">
      <alignment horizontal="center" wrapText="1"/>
    </xf>
    <xf numFmtId="0" fontId="36" fillId="36" borderId="77" xfId="6" applyFont="1" applyFill="1" applyBorder="1" applyAlignment="1">
      <alignment horizontal="center" wrapText="1"/>
    </xf>
  </cellXfs>
  <cellStyles count="8">
    <cellStyle name="Hipervínculo" xfId="5" builtinId="8"/>
    <cellStyle name="Millares 2" xfId="2" xr:uid="{0E916B7F-5BA3-4927-B181-F211D938C994}"/>
    <cellStyle name="Normal" xfId="0" builtinId="0"/>
    <cellStyle name="Normal 10" xfId="4" xr:uid="{C057A0CB-541E-465B-B81F-AC555C2DA1A9}"/>
    <cellStyle name="Normal 2" xfId="6" xr:uid="{ABC330E8-EC2B-4B95-955D-EF9F466D2AED}"/>
    <cellStyle name="Normal 2 10" xfId="3" xr:uid="{25B4D0CE-E226-4AD1-80FC-8D37B24E40A6}"/>
    <cellStyle name="Normal 2 2" xfId="7" xr:uid="{AA82488C-71E0-4F10-A87F-FEECDC0E5EFF}"/>
    <cellStyle name="Porcentaje" xfId="1" builtinId="5"/>
  </cellStyles>
  <dxfs count="103">
    <dxf>
      <fill>
        <patternFill>
          <bgColor theme="8" tint="0.79998168889431442"/>
        </patternFill>
      </fill>
    </dxf>
    <dxf>
      <fill>
        <patternFill>
          <bgColor theme="9" tint="0.79998168889431442"/>
        </patternFill>
      </fill>
    </dxf>
    <dxf>
      <fill>
        <patternFill>
          <bgColor rgb="FFFFFFCC"/>
        </patternFill>
      </fill>
    </dxf>
    <dxf>
      <fill>
        <patternFill>
          <bgColor theme="5" tint="0.59996337778862885"/>
        </patternFill>
      </fill>
    </dxf>
    <dxf>
      <fill>
        <patternFill>
          <bgColor rgb="FFFFCC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5" tint="0.59996337778862885"/>
        </patternFill>
      </fill>
    </dxf>
    <dxf>
      <fill>
        <patternFill>
          <bgColor rgb="FFFFCC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5" tint="0.59996337778862885"/>
        </patternFill>
      </fill>
    </dxf>
    <dxf>
      <fill>
        <patternFill>
          <bgColor rgb="FFFFCCCC"/>
        </patternFill>
      </fill>
    </dxf>
    <dxf>
      <fill>
        <patternFill>
          <bgColor theme="8" tint="0.79998168889431442"/>
        </patternFill>
      </fill>
    </dxf>
    <dxf>
      <fill>
        <patternFill>
          <bgColor theme="5" tint="0.59996337778862885"/>
        </patternFill>
      </fill>
    </dxf>
    <dxf>
      <numFmt numFmtId="1" formatCode="0"/>
      <fill>
        <patternFill patternType="none">
          <fgColor indexed="64"/>
          <bgColor auto="1"/>
        </patternFill>
      </fill>
      <alignment horizontal="center" vertical="center" textRotation="0" wrapText="1" indent="0" justifyLastLine="0" shrinkToFit="0" readingOrder="0"/>
    </dxf>
    <dxf>
      <numFmt numFmtId="1"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Aptos Narrow"/>
        <family val="2"/>
        <scheme val="minor"/>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Aptos Narrow"/>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Aptos Narrow"/>
        <family val="2"/>
        <scheme val="minor"/>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ill>
        <patternFill patternType="none">
          <fgColor indexed="64"/>
          <bgColor auto="1"/>
        </patternFill>
      </fill>
      <alignment vertical="center" textRotation="0" justifyLastLine="0" shrinkToFit="0"/>
    </dxf>
    <dxf>
      <font>
        <b/>
        <i val="0"/>
        <strike val="0"/>
        <condense val="0"/>
        <extend val="0"/>
        <outline val="0"/>
        <shadow val="0"/>
        <u val="none"/>
        <vertAlign val="baseline"/>
        <sz val="11"/>
        <color theme="0"/>
        <name val="Aptos Narrow"/>
        <family val="2"/>
        <scheme val="minor"/>
      </font>
      <fill>
        <patternFill patternType="none">
          <fgColor indexed="64"/>
          <bgColor auto="1"/>
        </patternFill>
      </fill>
      <alignment horizontal="center" vertical="center" textRotation="0" wrapText="1" indent="0" justifyLastLine="0" shrinkToFit="0" readingOrder="0"/>
    </dxf>
    <dxf>
      <alignment vertical="center"/>
    </dxf>
    <dxf>
      <alignment vertical="center"/>
    </dxf>
    <dxf>
      <alignment vertical="center"/>
    </dxf>
    <dxf>
      <alignment horizontal="center"/>
    </dxf>
    <dxf>
      <alignment vertical="center"/>
    </dxf>
    <dxf>
      <alignment vertical="center"/>
    </dxf>
    <dxf>
      <alignment vertical="center"/>
    </dxf>
    <dxf>
      <alignment horizontal="center"/>
    </dxf>
    <dxf>
      <font>
        <b val="0"/>
        <i val="0"/>
        <strike val="0"/>
        <condense val="0"/>
        <extend val="0"/>
        <outline val="0"/>
        <shadow val="0"/>
        <u val="none"/>
        <vertAlign val="baseline"/>
        <sz val="11"/>
        <color theme="1"/>
        <name val="Arial Narrow"/>
        <family val="2"/>
        <scheme val="none"/>
      </font>
      <numFmt numFmtId="165" formatCode="0.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Arial Narrow"/>
        <family val="2"/>
        <scheme val="none"/>
      </font>
      <numFmt numFmtId="165" formatCode="0.0%"/>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Arial Narrow"/>
        <family val="2"/>
        <scheme val="none"/>
      </font>
      <numFmt numFmtId="20" formatCode="d\-mmm\-yy"/>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Arial Narrow"/>
        <family val="2"/>
        <scheme val="none"/>
      </font>
      <numFmt numFmtId="13" formatCode="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Arial Narrow"/>
        <family val="2"/>
        <scheme val="none"/>
      </font>
      <numFmt numFmtId="20" formatCode="d\-mmm\-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Arial Narrow"/>
        <family val="2"/>
        <scheme val="none"/>
      </font>
      <numFmt numFmtId="20" formatCode="d\-mmm\-yy"/>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Arial Narrow"/>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center" vertical="center" textRotation="0" wrapText="1" indent="0" justifyLastLine="0" shrinkToFit="0" readingOrder="0"/>
      <protection locked="0" hidden="0"/>
    </dxf>
    <dxf>
      <fill>
        <patternFill patternType="none">
          <fgColor indexed="64"/>
          <bgColor auto="1"/>
        </patternFill>
      </fill>
    </dxf>
    <dxf>
      <font>
        <b/>
        <i val="0"/>
        <strike val="0"/>
        <condense val="0"/>
        <extend val="0"/>
        <outline val="0"/>
        <shadow val="0"/>
        <u val="none"/>
        <vertAlign val="baseline"/>
        <sz val="11"/>
        <color theme="0" tint="-4.9989318521683403E-2"/>
        <name val="Arial Narrow"/>
        <family val="2"/>
        <scheme val="none"/>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Arial Narrow"/>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Arial Narrow"/>
        <family val="2"/>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1"/>
        <color theme="1"/>
        <name val="Arial Narrow"/>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Arial Narrow"/>
        <family val="2"/>
        <scheme val="none"/>
      </font>
      <numFmt numFmtId="165"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Arial Narrow"/>
        <family val="2"/>
        <scheme val="none"/>
      </font>
      <numFmt numFmtId="165"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Arial Narrow"/>
        <family val="2"/>
        <scheme val="none"/>
      </font>
      <numFmt numFmtId="165" formatCode="0.0%"/>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Arial Narrow"/>
        <family val="2"/>
        <scheme val="none"/>
      </font>
      <numFmt numFmtId="165" formatCode="0.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Arial Narrow"/>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Arial Narrow"/>
        <family val="2"/>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1"/>
        <color theme="1"/>
        <name val="Arial Narrow"/>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Narrow"/>
        <family val="2"/>
        <scheme val="none"/>
      </font>
      <numFmt numFmtId="3" formatCode="#,##0"/>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Narrow"/>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Narrow"/>
        <family val="2"/>
        <scheme val="none"/>
      </font>
      <numFmt numFmtId="3" formatCode="#,##0"/>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Narrow"/>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family val="2"/>
        <scheme val="none"/>
      </font>
      <numFmt numFmtId="0" formatCode="General"/>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Narrow"/>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Arial Narrow"/>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dxf>
    <dxf>
      <font>
        <b/>
        <i val="0"/>
        <strike val="0"/>
        <condense val="0"/>
        <extend val="0"/>
        <outline val="0"/>
        <shadow val="0"/>
        <u val="none"/>
        <vertAlign val="baseline"/>
        <sz val="11"/>
        <color theme="0" tint="-4.9989318521683403E-2"/>
        <name val="Arial Narrow"/>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CCCC"/>
      <color rgb="FFFFFFCC"/>
      <color rgb="FFFF9B9B"/>
      <color rgb="FFFBC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620665</xdr:colOff>
      <xdr:row>0</xdr:row>
      <xdr:rowOff>57728</xdr:rowOff>
    </xdr:from>
    <xdr:to>
      <xdr:col>2</xdr:col>
      <xdr:colOff>858388</xdr:colOff>
      <xdr:row>0</xdr:row>
      <xdr:rowOff>1068244</xdr:rowOff>
    </xdr:to>
    <xdr:pic>
      <xdr:nvPicPr>
        <xdr:cNvPr id="2" name="Imagen 1" descr="Logotipo&#10;&#10;Descripción generada automáticamente">
          <a:extLst>
            <a:ext uri="{FF2B5EF4-FFF2-40B4-BE49-F238E27FC236}">
              <a16:creationId xmlns:a16="http://schemas.microsoft.com/office/drawing/2014/main" id="{6E0485E5-2112-4F2C-A465-E2AAFDB61CAB}"/>
            </a:ext>
            <a:ext uri="{147F2762-F138-4A5C-976F-8EAC2B608ADB}">
              <a16:predDERef xmlns:a16="http://schemas.microsoft.com/office/drawing/2014/main" pred="{F4441235-D5D0-8B57-E349-6BFAAF7187A3}"/>
            </a:ext>
          </a:extLst>
        </xdr:cNvPr>
        <xdr:cNvPicPr>
          <a:picLocks noChangeAspect="1"/>
        </xdr:cNvPicPr>
      </xdr:nvPicPr>
      <xdr:blipFill>
        <a:blip xmlns:r="http://schemas.openxmlformats.org/officeDocument/2006/relationships" r:embed="rId1"/>
        <a:stretch>
          <a:fillRect/>
        </a:stretch>
      </xdr:blipFill>
      <xdr:spPr>
        <a:xfrm>
          <a:off x="1049290" y="57728"/>
          <a:ext cx="963355" cy="1010516"/>
        </a:xfrm>
        <a:prstGeom prst="rect">
          <a:avLst/>
        </a:prstGeom>
      </xdr:spPr>
    </xdr:pic>
    <xdr:clientData/>
  </xdr:twoCellAnchor>
  <xdr:oneCellAnchor>
    <xdr:from>
      <xdr:col>17</xdr:col>
      <xdr:colOff>1022694</xdr:colOff>
      <xdr:row>0</xdr:row>
      <xdr:rowOff>0</xdr:rowOff>
    </xdr:from>
    <xdr:ext cx="972302" cy="971550"/>
    <xdr:pic>
      <xdr:nvPicPr>
        <xdr:cNvPr id="3" name="Imagen 2" descr="Logotipo&#10;&#10;Descripción generada automáticamente">
          <a:extLst>
            <a:ext uri="{FF2B5EF4-FFF2-40B4-BE49-F238E27FC236}">
              <a16:creationId xmlns:a16="http://schemas.microsoft.com/office/drawing/2014/main" id="{8F88992D-6F49-4E9D-87AA-6B8C07627B8B}"/>
            </a:ext>
            <a:ext uri="{147F2762-F138-4A5C-976F-8EAC2B608ADB}">
              <a16:predDERef xmlns:a16="http://schemas.microsoft.com/office/drawing/2014/main" pred="{F4441235-D5D0-8B57-E349-6BFAAF7187A3}"/>
            </a:ext>
          </a:extLst>
        </xdr:cNvPr>
        <xdr:cNvPicPr>
          <a:picLocks noChangeAspect="1"/>
        </xdr:cNvPicPr>
      </xdr:nvPicPr>
      <xdr:blipFill>
        <a:blip xmlns:r="http://schemas.openxmlformats.org/officeDocument/2006/relationships" r:embed="rId1"/>
        <a:stretch>
          <a:fillRect/>
        </a:stretch>
      </xdr:blipFill>
      <xdr:spPr>
        <a:xfrm>
          <a:off x="23282619" y="0"/>
          <a:ext cx="972302" cy="971550"/>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Alix Lorena Moreno Cordoba" id="{6B6EA33D-E5E3-458C-8E73-5877463F6898}" userId="S::alix.moreno@CAROYCUERVO.GOV.CO::4b4f43d5-9467-46f2-b57b-2fc172e46d1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ix lorena moreno cordoba" refreshedDate="45615.872051157407" createdVersion="7" refreshedVersion="8" minRefreshableVersion="3" recordCount="58" xr:uid="{A3795D4E-A7A9-419D-9D76-F3186D4A73E4}">
  <cacheSource type="worksheet">
    <worksheetSource name="t_resumen"/>
  </cacheSource>
  <cacheFields count="6">
    <cacheField name="Proceso" numFmtId="0">
      <sharedItems count="13">
        <s v="Alianzas"/>
        <s v="Investigación"/>
        <s v="Control Disciplinario"/>
        <s v="Información y comunicación"/>
        <s v="Apropiación social del conocimiento y del patrimonio"/>
        <s v="Evaluación independiente"/>
        <s v="Formación"/>
        <s v="Direccionamiento estratégico"/>
        <s v="Mejoramiento continuo"/>
        <s v="Gestión del talento humano"/>
        <s v="Contabilidad y presupuesto"/>
        <s v="Gestión de bienes y servicios"/>
        <s v="Adquisiciones"/>
      </sharedItems>
    </cacheField>
    <cacheField name="Código Riesgo" numFmtId="0">
      <sharedItems count="58">
        <s v="ALI-SD1"/>
        <s v="ALI-SD2"/>
        <s v="INV-SD1"/>
        <s v="INV-SD2"/>
        <s v="INV-SD3"/>
        <s v="INV-SD4"/>
        <s v="DIS-SD1"/>
        <s v="COM-SD1"/>
        <s v="COM-SD2"/>
        <s v="COM-SD3"/>
        <s v="APR-SD1"/>
        <s v="APR-SD2"/>
        <s v="EVA-SD-1"/>
        <s v="EVA-SD-2"/>
        <s v="EVA-SD3"/>
        <s v="FOR-SD1"/>
        <s v="COM-SD4"/>
        <s v="COM-SD5"/>
        <s v="COM-SD6"/>
        <s v="DIR-SD1"/>
        <s v="INV-SD5"/>
        <s v="INV-SD6"/>
        <s v="INV-SD7"/>
        <s v="APR-SD3"/>
        <s v="APR-SD4"/>
        <s v="APR-SD5"/>
        <s v="APR-SD6"/>
        <s v="APR-SD7"/>
        <s v="APR-SD8"/>
        <s v="DIR-SD2"/>
        <s v="DIR-SD3"/>
        <s v="MEJ-SD1"/>
        <s v="DES-SD1"/>
        <s v="DES-SD2"/>
        <s v="DES-SD3"/>
        <s v="DES-SD4"/>
        <s v="DES-SD5"/>
        <s v="DES-SD6"/>
        <s v="COM-SD7"/>
        <s v="COMSD8"/>
        <s v="COM-SD9"/>
        <s v="COM-SD10"/>
        <s v="COM-SD11"/>
        <s v="COM-SD12"/>
        <s v="PRE-SD1"/>
        <s v="COM-SD13"/>
        <s v="COM-SD14"/>
        <s v="COM-SD15"/>
        <s v="ADM-SD1"/>
        <s v="ADQ-SD-1"/>
        <s v="DIR-SD4"/>
        <s v="DIR-SD5"/>
        <s v="DIR-SD-6"/>
        <s v="DIR-DS7"/>
        <s v="DIR-SD8"/>
        <s v="FOR-SD2"/>
        <s v="DIS-SD2"/>
        <s v="INV-SD8"/>
      </sharedItems>
    </cacheField>
    <cacheField name="Posición Severidad i" numFmtId="1">
      <sharedItems containsSemiMixedTypes="0" containsString="0" containsNumber="1" containsInteger="1" minValue="3" maxValue="25"/>
    </cacheField>
    <cacheField name="Posición Severidad r" numFmtId="1">
      <sharedItems containsSemiMixedTypes="0" containsString="0" containsNumber="1" containsInteger="1" minValue="3" maxValue="20"/>
    </cacheField>
    <cacheField name="Severidad inherente" numFmtId="1">
      <sharedItems/>
    </cacheField>
    <cacheField name="Severidad residual" numFmtId="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8">
  <r>
    <x v="0"/>
    <x v="0"/>
    <n v="5"/>
    <n v="5"/>
    <s v="Moderado"/>
    <s v="Moderado"/>
  </r>
  <r>
    <x v="0"/>
    <x v="1"/>
    <n v="18"/>
    <n v="18"/>
    <s v="Alto"/>
    <s v="Alto"/>
  </r>
  <r>
    <x v="1"/>
    <x v="2"/>
    <n v="18"/>
    <n v="18"/>
    <s v="Alto"/>
    <s v="Alto"/>
  </r>
  <r>
    <x v="1"/>
    <x v="3"/>
    <n v="18"/>
    <n v="18"/>
    <s v="Alto"/>
    <s v="Alto"/>
  </r>
  <r>
    <x v="1"/>
    <x v="4"/>
    <n v="18"/>
    <n v="18"/>
    <s v="Alto"/>
    <s v="Alto"/>
  </r>
  <r>
    <x v="1"/>
    <x v="5"/>
    <n v="18"/>
    <n v="18"/>
    <s v="Alto"/>
    <s v="Alto"/>
  </r>
  <r>
    <x v="2"/>
    <x v="6"/>
    <n v="10"/>
    <n v="10"/>
    <s v="Moderado"/>
    <s v="Moderado"/>
  </r>
  <r>
    <x v="3"/>
    <x v="7"/>
    <n v="24"/>
    <n v="19"/>
    <s v="Extremo"/>
    <s v="Alto"/>
  </r>
  <r>
    <x v="3"/>
    <x v="8"/>
    <n v="25"/>
    <n v="20"/>
    <s v="Extremo"/>
    <s v="Alto"/>
  </r>
  <r>
    <x v="3"/>
    <x v="9"/>
    <n v="6"/>
    <n v="6"/>
    <s v="Moderado"/>
    <s v="Moderado"/>
  </r>
  <r>
    <x v="4"/>
    <x v="10"/>
    <n v="10"/>
    <n v="10"/>
    <s v="Moderado"/>
    <s v="Moderado"/>
  </r>
  <r>
    <x v="4"/>
    <x v="11"/>
    <n v="10"/>
    <n v="10"/>
    <s v="Moderado"/>
    <s v="Moderado"/>
  </r>
  <r>
    <x v="5"/>
    <x v="12"/>
    <n v="17"/>
    <n v="17"/>
    <s v="Alto"/>
    <s v="Alto"/>
  </r>
  <r>
    <x v="5"/>
    <x v="13"/>
    <n v="8"/>
    <n v="8"/>
    <s v="Moderado"/>
    <s v="Moderado"/>
  </r>
  <r>
    <x v="5"/>
    <x v="14"/>
    <n v="17"/>
    <n v="17"/>
    <s v="Alto"/>
    <s v="Alto"/>
  </r>
  <r>
    <x v="6"/>
    <x v="15"/>
    <n v="15"/>
    <n v="15"/>
    <s v="Alto"/>
    <s v="Alto"/>
  </r>
  <r>
    <x v="3"/>
    <x v="16"/>
    <n v="10"/>
    <n v="10"/>
    <s v="Moderado"/>
    <s v="Moderado"/>
  </r>
  <r>
    <x v="3"/>
    <x v="17"/>
    <n v="22"/>
    <n v="16"/>
    <s v="Extremo"/>
    <s v="Alto"/>
  </r>
  <r>
    <x v="3"/>
    <x v="18"/>
    <n v="12"/>
    <n v="12"/>
    <s v="Alto"/>
    <s v="Alto"/>
  </r>
  <r>
    <x v="7"/>
    <x v="19"/>
    <n v="10"/>
    <n v="10"/>
    <s v="Moderado"/>
    <s v="Moderado"/>
  </r>
  <r>
    <x v="1"/>
    <x v="20"/>
    <n v="20"/>
    <n v="20"/>
    <s v="Alto"/>
    <s v="Alto"/>
  </r>
  <r>
    <x v="1"/>
    <x v="21"/>
    <n v="11"/>
    <n v="11"/>
    <s v="Moderado"/>
    <s v="Moderado"/>
  </r>
  <r>
    <x v="1"/>
    <x v="22"/>
    <n v="20"/>
    <n v="20"/>
    <s v="Alto"/>
    <s v="Alto"/>
  </r>
  <r>
    <x v="4"/>
    <x v="23"/>
    <n v="16"/>
    <n v="16"/>
    <s v="Alto"/>
    <s v="Alto"/>
  </r>
  <r>
    <x v="4"/>
    <x v="24"/>
    <n v="22"/>
    <n v="16"/>
    <s v="Extremo"/>
    <s v="Alto"/>
  </r>
  <r>
    <x v="4"/>
    <x v="25"/>
    <n v="22"/>
    <n v="16"/>
    <s v="Extremo"/>
    <s v="Alto"/>
  </r>
  <r>
    <x v="4"/>
    <x v="26"/>
    <n v="19"/>
    <n v="19"/>
    <s v="Alto"/>
    <s v="Alto"/>
  </r>
  <r>
    <x v="4"/>
    <x v="27"/>
    <n v="15"/>
    <n v="15"/>
    <s v="Alto"/>
    <s v="Alto"/>
  </r>
  <r>
    <x v="4"/>
    <x v="28"/>
    <n v="10"/>
    <n v="10"/>
    <s v="Moderado"/>
    <s v="Moderado"/>
  </r>
  <r>
    <x v="7"/>
    <x v="29"/>
    <n v="25"/>
    <n v="20"/>
    <s v="Extremo"/>
    <s v="Alto"/>
  </r>
  <r>
    <x v="7"/>
    <x v="30"/>
    <n v="11"/>
    <n v="11"/>
    <s v="Moderado"/>
    <s v="Moderado"/>
  </r>
  <r>
    <x v="8"/>
    <x v="31"/>
    <n v="10"/>
    <n v="10"/>
    <s v="Moderado"/>
    <s v="Moderado"/>
  </r>
  <r>
    <x v="9"/>
    <x v="32"/>
    <n v="13"/>
    <n v="13"/>
    <s v="Alto"/>
    <s v="Alto"/>
  </r>
  <r>
    <x v="9"/>
    <x v="33"/>
    <n v="11"/>
    <n v="11"/>
    <s v="Moderado"/>
    <s v="Moderado"/>
  </r>
  <r>
    <x v="9"/>
    <x v="34"/>
    <n v="17"/>
    <n v="17"/>
    <s v="Alto"/>
    <s v="Alto"/>
  </r>
  <r>
    <x v="9"/>
    <x v="35"/>
    <n v="19"/>
    <n v="19"/>
    <s v="Alto"/>
    <s v="Alto"/>
  </r>
  <r>
    <x v="9"/>
    <x v="36"/>
    <n v="3"/>
    <n v="3"/>
    <s v="Bajo"/>
    <s v="Bajo"/>
  </r>
  <r>
    <x v="9"/>
    <x v="37"/>
    <n v="6"/>
    <n v="6"/>
    <s v="Moderado"/>
    <s v="Moderado"/>
  </r>
  <r>
    <x v="3"/>
    <x v="38"/>
    <n v="9"/>
    <n v="9"/>
    <s v="Moderado"/>
    <s v="Moderado"/>
  </r>
  <r>
    <x v="3"/>
    <x v="39"/>
    <n v="16"/>
    <n v="16"/>
    <s v="Alto"/>
    <s v="Alto"/>
  </r>
  <r>
    <x v="3"/>
    <x v="40"/>
    <n v="11"/>
    <n v="11"/>
    <s v="Moderado"/>
    <s v="Moderado"/>
  </r>
  <r>
    <x v="3"/>
    <x v="41"/>
    <n v="25"/>
    <n v="20"/>
    <s v="Extremo"/>
    <s v="Alto"/>
  </r>
  <r>
    <x v="3"/>
    <x v="42"/>
    <n v="14"/>
    <n v="14"/>
    <s v="Alto"/>
    <s v="Alto"/>
  </r>
  <r>
    <x v="3"/>
    <x v="43"/>
    <n v="20"/>
    <n v="20"/>
    <s v="Alto"/>
    <s v="Alto"/>
  </r>
  <r>
    <x v="10"/>
    <x v="44"/>
    <n v="14"/>
    <n v="14"/>
    <s v="Alto"/>
    <s v="Alto"/>
  </r>
  <r>
    <x v="3"/>
    <x v="45"/>
    <n v="20"/>
    <n v="20"/>
    <s v="Alto"/>
    <s v="Alto"/>
  </r>
  <r>
    <x v="3"/>
    <x v="46"/>
    <n v="20"/>
    <n v="20"/>
    <s v="Alto"/>
    <s v="Alto"/>
  </r>
  <r>
    <x v="3"/>
    <x v="47"/>
    <n v="24"/>
    <n v="19"/>
    <s v="Extremo"/>
    <s v="Alto"/>
  </r>
  <r>
    <x v="11"/>
    <x v="48"/>
    <n v="7"/>
    <n v="7"/>
    <s v="Moderado"/>
    <s v="Moderado"/>
  </r>
  <r>
    <x v="12"/>
    <x v="49"/>
    <n v="6"/>
    <n v="6"/>
    <s v="Moderado"/>
    <s v="Moderado"/>
  </r>
  <r>
    <x v="7"/>
    <x v="50"/>
    <n v="11"/>
    <n v="11"/>
    <s v="Moderado"/>
    <s v="Moderado"/>
  </r>
  <r>
    <x v="7"/>
    <x v="51"/>
    <n v="8"/>
    <n v="8"/>
    <s v="Moderado"/>
    <s v="Moderado"/>
  </r>
  <r>
    <x v="7"/>
    <x v="52"/>
    <n v="10"/>
    <n v="10"/>
    <s v="Moderado"/>
    <s v="Moderado"/>
  </r>
  <r>
    <x v="7"/>
    <x v="53"/>
    <n v="13"/>
    <n v="13"/>
    <s v="Alto"/>
    <s v="Alto"/>
  </r>
  <r>
    <x v="7"/>
    <x v="54"/>
    <n v="21"/>
    <n v="13"/>
    <s v="Extremo"/>
    <s v="Alto"/>
  </r>
  <r>
    <x v="6"/>
    <x v="55"/>
    <n v="6"/>
    <n v="6"/>
    <s v="Moderado"/>
    <s v="Moderado"/>
  </r>
  <r>
    <x v="2"/>
    <x v="56"/>
    <n v="11"/>
    <n v="11"/>
    <s v="Moderado"/>
    <s v="Moderado"/>
  </r>
  <r>
    <x v="1"/>
    <x v="57"/>
    <n v="11"/>
    <n v="11"/>
    <s v="Moderado"/>
    <s v="Moderad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2DFC597-DEF5-4F7F-9097-D6AE31A650CE}" name="TablaDinámica18" cacheId="0" applyNumberFormats="0" applyBorderFormats="0" applyFontFormats="0" applyPatternFormats="0" applyAlignmentFormats="0" applyWidthHeightFormats="1" dataCaption="Valores" updatedVersion="8" minRefreshableVersion="3" useAutoFormatting="1" rowGrandTotals="0" colGrandTotals="0" itemPrintTitles="1" createdVersion="8" indent="0" outline="1" outlineData="1" multipleFieldFilters="0" rowHeaderCaption="Código Riesgo">
  <location ref="H5:J63" firstHeaderRow="0" firstDataRow="1" firstDataCol="1" rowPageCount="1" colPageCount="1"/>
  <pivotFields count="6">
    <pivotField axis="axisPage" multipleItemSelectionAllowed="1" showAll="0">
      <items count="14">
        <item x="12"/>
        <item x="0"/>
        <item x="4"/>
        <item x="10"/>
        <item x="2"/>
        <item x="7"/>
        <item x="5"/>
        <item x="6"/>
        <item x="11"/>
        <item x="9"/>
        <item x="3"/>
        <item x="1"/>
        <item x="8"/>
        <item t="default"/>
      </items>
    </pivotField>
    <pivotField axis="axisRow" showAll="0" sortType="ascending">
      <items count="59">
        <item x="48"/>
        <item x="49"/>
        <item x="0"/>
        <item x="1"/>
        <item x="10"/>
        <item x="11"/>
        <item x="23"/>
        <item x="24"/>
        <item x="25"/>
        <item x="26"/>
        <item x="27"/>
        <item x="28"/>
        <item x="7"/>
        <item x="41"/>
        <item x="42"/>
        <item x="43"/>
        <item x="45"/>
        <item x="46"/>
        <item x="47"/>
        <item x="8"/>
        <item x="9"/>
        <item x="16"/>
        <item x="17"/>
        <item x="18"/>
        <item x="38"/>
        <item x="39"/>
        <item x="40"/>
        <item x="32"/>
        <item x="33"/>
        <item x="34"/>
        <item x="35"/>
        <item x="36"/>
        <item x="37"/>
        <item x="53"/>
        <item x="19"/>
        <item x="29"/>
        <item x="30"/>
        <item x="50"/>
        <item x="51"/>
        <item x="52"/>
        <item x="54"/>
        <item x="6"/>
        <item x="56"/>
        <item x="12"/>
        <item x="13"/>
        <item x="14"/>
        <item x="15"/>
        <item x="55"/>
        <item x="2"/>
        <item x="3"/>
        <item x="4"/>
        <item x="5"/>
        <item x="20"/>
        <item x="21"/>
        <item x="22"/>
        <item x="57"/>
        <item x="31"/>
        <item x="44"/>
        <item t="default"/>
      </items>
    </pivotField>
    <pivotField dataField="1" numFmtId="1" showAll="0"/>
    <pivotField dataField="1" showAll="0"/>
    <pivotField showAll="0"/>
    <pivotField showAll="0"/>
  </pivotFields>
  <rowFields count="1">
    <field x="1"/>
  </rowFields>
  <rowItems count="5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rowItems>
  <colFields count="1">
    <field x="-2"/>
  </colFields>
  <colItems count="2">
    <i>
      <x/>
    </i>
    <i i="1">
      <x v="1"/>
    </i>
  </colItems>
  <pageFields count="1">
    <pageField fld="0" hier="-1"/>
  </pageFields>
  <dataFields count="2">
    <dataField name="Suma de Posición  i" fld="2" baseField="0" baseItem="0"/>
    <dataField name="Suma de Posición r" fld="3" baseField="1" baseItem="16"/>
  </dataFields>
  <formats count="4">
    <format dxfId="29">
      <pivotArea outline="0" collapsedLevelsAreSubtotals="1" fieldPosition="0"/>
    </format>
    <format dxfId="28">
      <pivotArea type="all" dataOnly="0" outline="0" fieldPosition="0"/>
    </format>
    <format dxfId="27">
      <pivotArea outline="0" collapsedLevelsAreSubtotals="1" fieldPosition="0"/>
    </format>
    <format dxfId="26">
      <pivotArea field="1"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505E8E8-8B09-4DF6-BC77-07C648C33435}" name="TablaDinámica20" cacheId="0" applyNumberFormats="0" applyBorderFormats="0" applyFontFormats="0" applyPatternFormats="0" applyAlignmentFormats="0" applyWidthHeightFormats="1" dataCaption="Valores" updatedVersion="8" minRefreshableVersion="3" useAutoFormatting="1" rowGrandTotals="0" colGrandTotals="0" itemPrintTitles="1" createdVersion="8" indent="0" outline="1" outlineData="1" multipleFieldFilters="0">
  <location ref="T5:U6" firstHeaderRow="0" firstDataRow="1" firstDataCol="0" rowPageCount="1" colPageCount="1"/>
  <pivotFields count="6">
    <pivotField multipleItemSelectionAllowed="1" showAll="0"/>
    <pivotField axis="axisPage" multipleItemSelectionAllowed="1" showAll="0" sortType="ascending">
      <items count="59">
        <item x="48"/>
        <item x="49"/>
        <item x="0"/>
        <item x="1"/>
        <item x="10"/>
        <item x="11"/>
        <item x="23"/>
        <item x="24"/>
        <item x="25"/>
        <item x="26"/>
        <item x="27"/>
        <item x="28"/>
        <item x="7"/>
        <item x="41"/>
        <item x="42"/>
        <item x="43"/>
        <item x="45"/>
        <item x="46"/>
        <item x="47"/>
        <item x="8"/>
        <item x="9"/>
        <item x="16"/>
        <item x="17"/>
        <item x="18"/>
        <item x="38"/>
        <item x="39"/>
        <item x="40"/>
        <item x="32"/>
        <item x="33"/>
        <item x="34"/>
        <item x="35"/>
        <item x="36"/>
        <item x="37"/>
        <item x="53"/>
        <item x="19"/>
        <item x="29"/>
        <item x="30"/>
        <item x="50"/>
        <item x="51"/>
        <item x="52"/>
        <item x="54"/>
        <item x="6"/>
        <item x="56"/>
        <item x="12"/>
        <item x="13"/>
        <item x="14"/>
        <item x="15"/>
        <item x="55"/>
        <item x="2"/>
        <item x="3"/>
        <item x="4"/>
        <item x="5"/>
        <item x="20"/>
        <item x="21"/>
        <item x="22"/>
        <item x="57"/>
        <item x="31"/>
        <item x="44"/>
        <item t="default"/>
      </items>
    </pivotField>
    <pivotField dataField="1" numFmtId="1" showAll="0"/>
    <pivotField dataField="1" showAll="0"/>
    <pivotField showAll="0"/>
    <pivotField showAll="0"/>
  </pivotFields>
  <rowItems count="1">
    <i/>
  </rowItems>
  <colFields count="1">
    <field x="-2"/>
  </colFields>
  <colItems count="2">
    <i>
      <x/>
    </i>
    <i i="1">
      <x v="1"/>
    </i>
  </colItems>
  <pageFields count="1">
    <pageField fld="1" hier="-1"/>
  </pageFields>
  <dataFields count="2">
    <dataField name="Suma de Posición i" fld="2" baseField="0" baseItem="0"/>
    <dataField name="Suma de Posición r" fld="3" baseField="0" baseItem="1"/>
  </dataFields>
  <formats count="4">
    <format dxfId="33">
      <pivotArea outline="0" collapsedLevelsAreSubtotals="1" fieldPosition="0"/>
    </format>
    <format dxfId="32">
      <pivotArea type="all" dataOnly="0" outline="0" fieldPosition="0"/>
    </format>
    <format dxfId="31">
      <pivotArea outline="0" collapsedLevelsAreSubtotals="1" fieldPosition="0"/>
    </format>
    <format dxfId="30">
      <pivotArea field="1" type="button" dataOnly="0" labelOnly="1" outline="0" axis="axisPage"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3C5739-FF85-4AFA-8883-E5A816658626}" name="R_S_Digital" displayName="R_S_Digital" ref="A5:AQ41" totalsRowShown="0" headerRowDxfId="102" dataDxfId="101">
  <autoFilter ref="A5:AQ41" xr:uid="{7C3C5739-FF85-4AFA-8883-E5A816658626}"/>
  <sortState xmlns:xlrd2="http://schemas.microsoft.com/office/spreadsheetml/2017/richdata2" ref="A6:AE41">
    <sortCondition ref="D6:D41"/>
  </sortState>
  <tableColumns count="43">
    <tableColumn id="27" xr3:uid="{36B6FE6B-6CBA-45C7-8E3E-6764C9A51B64}" name="ID_R" dataDxfId="100">
      <calculatedColumnFormula>A5+6</calculatedColumnFormula>
    </tableColumn>
    <tableColumn id="1" xr3:uid="{560B6B6B-D56E-4F41-94E9-F2E1270C4523}" name="Proceso" dataDxfId="99"/>
    <tableColumn id="41" xr3:uid="{3834F09B-5AFA-4DAA-90C0-8C204C2F9B17}" name="Oficina Productora" dataDxfId="98"/>
    <tableColumn id="2" xr3:uid="{C529C4C7-D7EE-43B6-9A0E-860B28474FF6}" name="Código Riesgo" dataDxfId="97"/>
    <tableColumn id="3" xr3:uid="{40BB89B7-305B-4B1F-AC25-FE5DEEC833F2}" name="Tipo activo de información" dataDxfId="96"/>
    <tableColumn id="4" xr3:uid="{94AFF5CD-B755-4A85-8564-0833D7B440D9}" name="Nombre activo de información" dataDxfId="95"/>
    <tableColumn id="30" xr3:uid="{E4A8C26A-5981-4E65-95A7-E9F7ED6192A5}" name="Factor de riesgo" dataDxfId="94"/>
    <tableColumn id="26" xr3:uid="{D0F4338D-05F9-40EE-B352-A7158BC2C5AD}" name="Riesgo seguridad" dataDxfId="93"/>
    <tableColumn id="32" xr3:uid="{ADD536D0-0C21-44CA-9069-A01A8187163F}" name="Amenaza" dataDxfId="92"/>
    <tableColumn id="7" xr3:uid="{5804CE1B-5A0D-45CA-A738-E180212487C0}" name="Vulnerabilidades (Causas)" dataDxfId="91"/>
    <tableColumn id="28" xr3:uid="{BEE02C64-6B4B-41A0-B2BA-DFC5DCE020B7}" name="Descripción del riesgo" dataDxfId="90">
      <calculatedColumnFormula>+CONCATENATE(R_S_Digital[[#This Row],[Riesgo seguridad]], " debido a factores externos como: ",R_S_Digital[[#This Row],[Amenaza]])</calculatedColumnFormula>
    </tableColumn>
    <tableColumn id="9" xr3:uid="{8DC79DC2-02B5-41CF-A790-AA90269063C0}" name="Frecuencia" dataDxfId="89"/>
    <tableColumn id="10" xr3:uid="{7C2AB132-F5AB-461E-9139-55A01E523945}" name="Unidad de medida" dataDxfId="88"/>
    <tableColumn id="5" xr3:uid="{AF097DC5-64E1-4686-8B7E-534227E15CA3}" name="Afectación" dataDxfId="87"/>
    <tableColumn id="6" xr3:uid="{F80E0353-96C2-49BC-8091-1A4310E91EAB}" name="Impacto" dataDxfId="86"/>
    <tableColumn id="12" xr3:uid="{D423788C-8B71-48F3-9B22-B70D011D2FCC}" name="Probabilidad inherente" dataDxfId="85">
      <calculatedColumnFormula>_xlfn.XLOOKUP(#REF!,P_Cuantitativa,P_Cualitativa,"",0)</calculatedColumnFormula>
    </tableColumn>
    <tableColumn id="14" xr3:uid="{9FFA7CA4-E44F-4FCA-96FE-8DBFD1F5E07D}" name="Impacto inherente" dataDxfId="84">
      <calculatedColumnFormula>_xlfn.XLOOKUP(#REF!,I_Cuantitativo,I_Cualitativo,"",0)</calculatedColumnFormula>
    </tableColumn>
    <tableColumn id="16" xr3:uid="{F7678867-771B-42BC-BCD3-1F7DA8774449}" name="Severidad inherente" dataDxfId="83">
      <calculatedColumnFormula>_xlfn.XLOOKUP(CONCATENATE(R_S_Digital[[#This Row],[Probabilidad inherente]],R_S_Digital[[#This Row],[Impacto inherente]]),Severidad,S_Nivel,"",0)</calculatedColumnFormula>
    </tableColumn>
    <tableColumn id="18" xr3:uid="{6A6E5AD5-E704-45F5-B7FB-B44DBA118EE0}" name="Responsable de ejecutar" dataDxfId="82">
      <calculatedColumnFormula>IFERROR(#REF!-#REF!,"")</calculatedColumnFormula>
    </tableColumn>
    <tableColumn id="19" xr3:uid="{6B15D672-1FBD-4DC7-9466-D0E287F606B1}" name="Acción de control" dataDxfId="81">
      <calculatedColumnFormula>IFERROR(#REF!-#REF!,"")</calculatedColumnFormula>
    </tableColumn>
    <tableColumn id="31" xr3:uid="{0BEF03E1-F83C-42DA-9F76-589067901377}" name="Momento de ejecución" dataDxfId="80"/>
    <tableColumn id="33" xr3:uid="{563282AF-574C-4277-84F0-17CC6F0F4BE8}" name="Forma de ejecución" dataDxfId="79"/>
    <tableColumn id="20" xr3:uid="{BDFD97BE-CD67-4AF0-B81A-649330A8FF4B}" name="Probabilidad residual" dataDxfId="78">
      <calculatedColumnFormula>_xlfn.XLOOKUP(#REF!,P_Cuantitativa,P_Cualitativa,"",1)</calculatedColumnFormula>
    </tableColumn>
    <tableColumn id="22" xr3:uid="{3C6FF39C-E542-431F-B9EE-749FE10E469B}" name="Impacto residual" dataDxfId="77">
      <calculatedColumnFormula>_xlfn.XLOOKUP(#REF!,I_Cuantitativo,I_Cualitativo,"",1)</calculatedColumnFormula>
    </tableColumn>
    <tableColumn id="24" xr3:uid="{3B955836-0E47-45C9-9193-D9E1739C40E4}" name="Severidad residual" dataDxfId="76">
      <calculatedColumnFormula>_xlfn.XLOOKUP(CONCATENATE(R_S_Digital[[#This Row],[Probabilidad residual]],R_S_Digital[[#This Row],[Impacto residual]]),Severidad,S_Nivel,"",0)</calculatedColumnFormula>
    </tableColumn>
    <tableColumn id="35" xr3:uid="{31EDD689-D58F-4CCD-AD77-B3E2ECE5E558}" name="Tratamiento" dataDxfId="75"/>
    <tableColumn id="36" xr3:uid="{DB52C531-D819-43C6-84CC-1D7A1BEC212B}" name="Actividad fortalecimiento" dataDxfId="74"/>
    <tableColumn id="37" xr3:uid="{B2395A2D-F9A4-4228-954B-F84E741BE79A}" name="Responsable estrategia" dataDxfId="73"/>
    <tableColumn id="38" xr3:uid="{5C9720B2-66CD-47EA-850E-EDE304268C56}" name="Fecha inicio" dataDxfId="72"/>
    <tableColumn id="39" xr3:uid="{311A5443-6554-424D-83C4-77864CB6D180}" name="Fecha fin" dataDxfId="71"/>
    <tableColumn id="40" xr3:uid="{703F33E2-55AA-4445-B2D2-5FAC64761E08}" name="Estado de la  actividad" dataDxfId="70"/>
    <tableColumn id="8" xr3:uid="{C92FFD6E-C18C-47CD-AC8A-5942765555D1}" name="Fecha de Monitoreo" dataDxfId="69"/>
    <tableColumn id="11" xr3:uid="{7BE4A0F6-F604-495E-9DA0-A8EC6EB91A29}" name="Evidencia de implementación de la actividad" dataDxfId="68"/>
    <tableColumn id="13" xr3:uid="{3C03CDD6-6E49-4A2B-9163-FE9E743614E7}" name="Estado de la  actividad2" dataDxfId="67"/>
    <tableColumn id="15" xr3:uid="{7EFFF89D-5C02-40B1-896B-FA039909F2F6}" name="Observaciones sobre el plan" dataDxfId="66"/>
    <tableColumn id="17" xr3:uid="{954C2DCD-5CC3-472F-B95B-68AB8601A704}" name="Evidencia de ejecución del control" dataDxfId="65"/>
    <tableColumn id="21" xr3:uid="{42DF1359-1B07-4074-B053-312A6AE8BA09}" name="Observaciones sobre el control" dataDxfId="64"/>
    <tableColumn id="23" xr3:uid="{7E87B549-25F8-4D69-920D-1E90CA3EAEB4}" name="¿La identificación del riesgo es adecuada?" dataDxfId="63"/>
    <tableColumn id="25" xr3:uid="{9BC94E4C-1215-473E-A047-5BE512BAD836}" name="¿El diseño del control es adecuado?" dataDxfId="62"/>
    <tableColumn id="29" xr3:uid="{F58B6AF1-7D71-4424-9F53-D303C1FEDDC6}" name="¿Se evidencia ejecución del control?" dataDxfId="61"/>
    <tableColumn id="34" xr3:uid="{C35F3A21-3172-46B2-9C4F-10CD6B764BB1}" name="¿El plan de reducción ha permitido mejorar el control?" dataDxfId="60"/>
    <tableColumn id="42" xr3:uid="{5274FB69-6104-4FA8-900D-596E4825CEBA}" name="¿Se presentaron eventos de materialización del riesgo?" dataDxfId="59"/>
    <tableColumn id="43" xr3:uid="{BA6BABFB-6B23-467A-AB5E-2769D56C117D}" name="Observaciones del seguimiento" dataDxfId="58"/>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762279-C576-424E-97F9-0A937EA7D6B2}" name="C_S_Digital" displayName="C_S_Digital" ref="A5:V353" totalsRowShown="0" headerRowDxfId="57" dataDxfId="56">
  <autoFilter ref="A5:V353" xr:uid="{8F762279-C576-424E-97F9-0A937EA7D6B2}"/>
  <tableColumns count="22">
    <tableColumn id="26" xr3:uid="{18E3395E-679F-42CC-A7AF-2660CA08D6E5}" name="ID_C" dataDxfId="55"/>
    <tableColumn id="2" xr3:uid="{E838047F-46B1-42C9-8F7D-C33F47F82760}" name="Proceso" dataDxfId="54"/>
    <tableColumn id="3" xr3:uid="{ABA95658-FC55-40DC-A9DF-38A0BCAD550A}" name="Código riesgo" dataDxfId="53">
      <calculatedColumnFormula>+R_S_Digital[[#This Row],[Código Riesgo]]</calculatedColumnFormula>
    </tableColumn>
    <tableColumn id="4" xr3:uid="{DD172380-2982-4F09-9C69-040D5B718C42}" name="Vulnerabilidades (Causas)" dataDxfId="52"/>
    <tableColumn id="5" xr3:uid="{0C04CED7-0862-42A5-B3F1-FD2A8EDDDF52}" name="Código control" dataDxfId="51">
      <calculatedColumnFormula>IF(C_S_Digital[[#This Row],[Responsable de ejecutar]]&lt;&gt;"",CONCATENATE(C_S_Digital[[#This Row],[Código riesgo]],"-",IF(C_S_Digital[[#This Row],[Código riesgo]]&lt;&gt;C5,1,RIGHT(E5,1)+1)),"")</calculatedColumnFormula>
    </tableColumn>
    <tableColumn id="6" xr3:uid="{AE6B2C48-D088-4C55-B66D-F0A18E4B59AD}" name="Responsable de ejecutar" dataDxfId="50"/>
    <tableColumn id="7" xr3:uid="{D354AB13-AC37-4B36-9BFB-D4E1C64C7DC9}" name="Acción de control" dataDxfId="49"/>
    <tableColumn id="8" xr3:uid="{6E75BDB2-074C-4D93-8BA3-2AF984F3B4A1}" name="Complemento" dataDxfId="48"/>
    <tableColumn id="9" xr3:uid="{B905D025-0214-4C9C-B35D-E3434C8F9A38}" name="Momento de ejecución" dataDxfId="47"/>
    <tableColumn id="10" xr3:uid="{9C311E97-76A4-451E-9F90-8B662C6DAA13}" name="Forma de ejecución" dataDxfId="46"/>
    <tableColumn id="13" xr3:uid="{3E1F9A66-ACEC-4A19-A81E-A25B16F214EE}" name="Documentación" dataDxfId="45"/>
    <tableColumn id="14" xr3:uid="{29E0A3D8-9649-45A6-88C7-9D3DECFA9294}" name="Frecuencia" dataDxfId="44"/>
    <tableColumn id="15" xr3:uid="{675C7DAC-5298-40D8-9780-4B85B11A21C8}" name="Evidencia" dataDxfId="43"/>
    <tableColumn id="21" xr3:uid="{1496F84F-0013-4EA6-986C-B20EDC2C6324}" name="Tratamiento" dataDxfId="42"/>
    <tableColumn id="22" xr3:uid="{7570817E-A3F4-428E-A2A1-EA97ACED351F}" name="Actividad fortalecimiento" dataDxfId="41"/>
    <tableColumn id="23" xr3:uid="{6D4E3ADD-5661-4A6F-B4D5-7DA59BDB2681}" name="Responsable estrategia" dataDxfId="40"/>
    <tableColumn id="24" xr3:uid="{A9F1294A-35A6-4DA0-BA13-D99325FC06F2}" name="Fecha inicio" dataDxfId="39"/>
    <tableColumn id="25" xr3:uid="{99FEAB59-56F4-4353-9ABA-7D32F7FEA74C}" name="Fecha fin" dataDxfId="38"/>
    <tableColumn id="11" xr3:uid="{7C87A244-7B24-43B6-98CE-BA1CC1E40DCA}" name="Peso" dataDxfId="37">
      <calculatedColumnFormula>_xlfn.XLOOKUP(CONCATENATE(C_S_Digital[[#This Row],[Momento de ejecución]],C_S_Digital[[#This Row],[Forma de ejecución]]),C_Atributos,C_Peso,"",0)</calculatedColumnFormula>
    </tableColumn>
    <tableColumn id="12" xr3:uid="{774E22C9-5662-4EB4-9C53-DFF27CB45F52}" name="Efecto" dataDxfId="36">
      <calculatedColumnFormula>IFERROR(_xlfn.XLOOKUP(C_S_Digital[[#This Row],[Momento de ejecución]],C_Momento,C_Efecto,,0),"")</calculatedColumnFormula>
    </tableColumn>
    <tableColumn id="17" xr3:uid="{DFE7B7E9-2375-4E13-A08C-3B356C8D812F}" name="Cambio P %" dataDxfId="35">
      <calculatedColumnFormula>IFERROR(IF(C_S_Digital[[#This Row],[Código riesgo]]&lt;&gt;C5,_xlfn.XLOOKUP(C6,R_S_Digital[Código Riesgo],#REF!,,0)*IF(C_S_Digital[[#This Row],[Efecto]]="Probabilidad",1-C_S_Digital[[#This Row],[Peso]],1),IF(C_S_Digital[[#This Row],[Efecto]]="Probabilidad",U5*(1-C_S_Digital[[#This Row],[Peso]]),U5)),"")</calculatedColumnFormula>
    </tableColumn>
    <tableColumn id="19" xr3:uid="{995ED3AA-F146-482E-B0E2-80FCD4107653}" name="Cambio I %" dataDxfId="34">
      <calculatedColumnFormula>IFERROR(IF(C_S_Digital[[#This Row],[Código riesgo]]&lt;&gt;C5,_xlfn.XLOOKUP(C_S_Digital[[#This Row],[Código riesgo]],R_S_Digital[Código Riesgo],#REF!,,0)*IF(C_S_Digital[[#This Row],[Efecto]]="Impacto",1-C_S_Digital[[#This Row],[Peso]],1),IF(C_S_Digital[[#This Row],[Efecto]]="Impacto",V5*(1-C_S_Digital[[#This Row],[Peso]]),V5)),"")</calculatedColumnFormula>
    </tableColumn>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E12E517-C0F7-44AD-9038-3B8F01B97882}" name="T_resumen" displayName="T_resumen" ref="A5:F63" totalsRowShown="0" headerRowDxfId="25" dataDxfId="24" tableBorderDxfId="23">
  <autoFilter ref="A5:F63" xr:uid="{04438BEB-8F40-4E40-95C2-1DD5B7B37CDF}"/>
  <tableColumns count="6">
    <tableColumn id="1" xr3:uid="{EA675C6B-43C8-4354-AFFF-E088ABA9648E}" name="Proceso" dataDxfId="22">
      <calculatedColumnFormula>R_S_Digital[[#This Row],[Proceso]]</calculatedColumnFormula>
    </tableColumn>
    <tableColumn id="2" xr3:uid="{F8686ECA-2C6F-46DD-B3D0-9BDDDD5E32DB}" name="Código Riesgo" dataDxfId="21">
      <calculatedColumnFormula>R_S_Digital[[#This Row],[Código Riesgo]]</calculatedColumnFormula>
    </tableColumn>
    <tableColumn id="3" xr3:uid="{7256A881-7BE8-42B7-8AF0-D8446E8EDCB9}" name="Posición Severidad i" dataDxfId="20">
      <calculatedColumnFormula>#REF!</calculatedColumnFormula>
    </tableColumn>
    <tableColumn id="4" xr3:uid="{AA937AE3-AD8D-4D40-A2DF-15D04849EB11}" name="Posición Severidad r" dataDxfId="19">
      <calculatedColumnFormula>#REF!</calculatedColumnFormula>
    </tableColumn>
    <tableColumn id="5" xr3:uid="{35E817A7-04A0-49BE-B957-0740EE90DF2F}" name="Severidad inherente" dataDxfId="18">
      <calculatedColumnFormula>R_S_Digital[[#This Row],[Severidad inherente]]</calculatedColumnFormula>
    </tableColumn>
    <tableColumn id="6" xr3:uid="{8AE22757-755C-47DD-892E-7956E7ED30BC}" name="Severidad residual" dataDxfId="17">
      <calculatedColumnFormula>R_S_Digital[[#This Row],[Severidad residual]]</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5" dT="2024-11-28T15:19:56.89" personId="{6B6EA33D-E5E3-458C-8E73-5877463F6898}" id="{07F6BEB4-8E6F-4095-94A1-3FEF0D0C0726}">
    <text>Solicitar a Gdocumental</text>
  </threadedComment>
</ThreadedComments>
</file>

<file path=xl/threadedComments/threadedComment2.xml><?xml version="1.0" encoding="utf-8"?>
<ThreadedComments xmlns="http://schemas.microsoft.com/office/spreadsheetml/2018/threadedcomments" xmlns:x="http://schemas.openxmlformats.org/spreadsheetml/2006/main">
  <threadedComment ref="E2" dT="2024-11-28T15:31:04.27" personId="{6B6EA33D-E5E3-458C-8E73-5877463F6898}" id="{E2EF70ED-2AEB-4467-813D-BA0BDB7D1B53}">
    <text>Especificar la unidad de medida</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14248-AA64-430A-B716-2B5BB9E72BC5}">
  <sheetPr>
    <tabColor rgb="FF002060"/>
  </sheetPr>
  <dimension ref="A1:AX41"/>
  <sheetViews>
    <sheetView tabSelected="1" topLeftCell="K3" zoomScale="60" zoomScaleNormal="60" workbookViewId="0">
      <pane ySplit="3" topLeftCell="A30" activePane="bottomLeft" state="frozen"/>
      <selection activeCell="A3" sqref="A3"/>
      <selection pane="bottomLeft" activeCell="S5" sqref="S1:U1048576"/>
    </sheetView>
  </sheetViews>
  <sheetFormatPr baseColWidth="10" defaultColWidth="11.42578125" defaultRowHeight="16.5" x14ac:dyDescent="0.25"/>
  <cols>
    <col min="1" max="1" width="9.140625" style="2" customWidth="1"/>
    <col min="2" max="3" width="22.85546875" style="3" customWidth="1"/>
    <col min="4" max="4" width="14.85546875" style="3" customWidth="1"/>
    <col min="5" max="5" width="17.85546875" style="3" customWidth="1"/>
    <col min="6" max="6" width="27.5703125" style="3" customWidth="1"/>
    <col min="7" max="7" width="17" style="3" customWidth="1"/>
    <col min="8" max="8" width="14.7109375" style="3" customWidth="1"/>
    <col min="9" max="10" width="24.42578125" style="3" customWidth="1"/>
    <col min="11" max="11" width="32.7109375" style="3" customWidth="1"/>
    <col min="12" max="12" width="16.7109375" customWidth="1"/>
    <col min="13" max="13" width="21" customWidth="1"/>
    <col min="14" max="14" width="17.28515625" customWidth="1"/>
    <col min="15" max="15" width="32.42578125" customWidth="1"/>
    <col min="16" max="16" width="19" style="2" customWidth="1"/>
    <col min="17" max="17" width="17" style="3" customWidth="1"/>
    <col min="18" max="18" width="18.7109375" style="2" customWidth="1"/>
    <col min="19" max="19" width="34.5703125" style="3" customWidth="1"/>
    <col min="20" max="20" width="47.140625" style="147" hidden="1" customWidth="1"/>
    <col min="21" max="22" width="15.28515625" style="3" customWidth="1"/>
    <col min="23" max="23" width="13.140625" style="2" customWidth="1"/>
    <col min="24" max="24" width="19.85546875" style="2" customWidth="1"/>
    <col min="25" max="25" width="17" style="2" customWidth="1"/>
    <col min="26" max="26" width="16.42578125" style="2" customWidth="1"/>
    <col min="27" max="27" width="54" style="2" customWidth="1"/>
    <col min="28" max="28" width="32.7109375" style="2" customWidth="1"/>
    <col min="29" max="29" width="25.85546875" style="3" customWidth="1"/>
    <col min="30" max="30" width="23.140625" style="3" customWidth="1"/>
    <col min="31" max="31" width="28" style="3" customWidth="1"/>
    <col min="32" max="32" width="17.28515625" style="2" customWidth="1"/>
    <col min="33" max="33" width="20.42578125" style="2" customWidth="1"/>
    <col min="34" max="34" width="18.140625" style="2" customWidth="1"/>
    <col min="35" max="35" width="22" style="2" customWidth="1"/>
    <col min="36" max="36" width="21.42578125" style="2" customWidth="1"/>
    <col min="37" max="37" width="22" style="2" customWidth="1"/>
    <col min="38" max="38" width="19.5703125" style="2" customWidth="1"/>
    <col min="39" max="39" width="18.7109375" style="2" customWidth="1"/>
    <col min="40" max="40" width="18.5703125" style="2" customWidth="1"/>
    <col min="41" max="41" width="20" style="2" customWidth="1"/>
    <col min="42" max="43" width="21.7109375" style="2" customWidth="1"/>
    <col min="44" max="16384" width="11.42578125" style="2"/>
  </cols>
  <sheetData>
    <row r="1" spans="1:50" ht="19.5" customHeight="1" thickTop="1" thickBot="1" x14ac:dyDescent="0.3">
      <c r="A1" s="280" t="s">
        <v>0</v>
      </c>
      <c r="B1" s="281"/>
      <c r="C1" s="253"/>
      <c r="D1" s="278" t="s">
        <v>1</v>
      </c>
      <c r="E1" s="278"/>
      <c r="F1" s="278"/>
      <c r="G1" s="278"/>
      <c r="H1" s="278"/>
      <c r="I1" s="278"/>
      <c r="J1" s="1"/>
      <c r="K1" s="278" t="s">
        <v>1</v>
      </c>
      <c r="L1" s="278"/>
      <c r="M1" s="278"/>
      <c r="N1" s="278"/>
      <c r="O1" s="278"/>
      <c r="P1" s="278" t="s">
        <v>1</v>
      </c>
      <c r="Q1" s="278"/>
      <c r="R1" s="278"/>
      <c r="S1" s="289"/>
      <c r="T1" s="289"/>
      <c r="U1" s="289"/>
      <c r="V1" s="289"/>
      <c r="W1" s="289"/>
      <c r="X1" s="289"/>
      <c r="Y1" s="289"/>
    </row>
    <row r="2" spans="1:50" ht="19.5" customHeight="1" thickTop="1" x14ac:dyDescent="0.25">
      <c r="A2" s="282" t="s">
        <v>2</v>
      </c>
      <c r="B2" s="283"/>
      <c r="C2" s="254"/>
      <c r="D2" s="279"/>
      <c r="E2" s="279"/>
      <c r="F2" s="279"/>
      <c r="G2" s="279"/>
      <c r="H2" s="279"/>
      <c r="I2" s="279"/>
      <c r="J2" s="256"/>
      <c r="K2" s="279"/>
      <c r="L2" s="279"/>
      <c r="M2" s="279"/>
      <c r="N2" s="279"/>
      <c r="O2" s="279"/>
      <c r="P2" s="279"/>
      <c r="Q2" s="279"/>
      <c r="R2" s="279"/>
      <c r="S2" s="290"/>
      <c r="T2" s="290"/>
      <c r="U2" s="290"/>
      <c r="V2" s="290"/>
      <c r="W2" s="290"/>
      <c r="X2" s="290"/>
      <c r="Y2" s="290"/>
      <c r="Z2" s="4"/>
      <c r="AA2" s="4"/>
      <c r="AB2" s="4"/>
      <c r="AC2" s="255"/>
      <c r="AD2" s="255"/>
      <c r="AE2" s="255"/>
      <c r="AF2" s="4"/>
      <c r="AG2" s="4"/>
      <c r="AH2" s="4"/>
      <c r="AI2" s="4"/>
      <c r="AJ2" s="4"/>
      <c r="AK2" s="4"/>
      <c r="AL2" s="4"/>
      <c r="AM2" s="4"/>
      <c r="AN2" s="4"/>
      <c r="AO2" s="4"/>
      <c r="AP2" s="4"/>
      <c r="AQ2" s="4"/>
      <c r="AR2" s="4"/>
      <c r="AS2" s="4"/>
      <c r="AT2" s="4"/>
      <c r="AU2" s="4"/>
      <c r="AV2" s="4"/>
      <c r="AW2" s="4"/>
      <c r="AX2" s="4"/>
    </row>
    <row r="3" spans="1:50" ht="39" customHeight="1" x14ac:dyDescent="0.25">
      <c r="A3" s="285" t="s">
        <v>3</v>
      </c>
      <c r="B3" s="285"/>
      <c r="C3" s="285"/>
      <c r="D3" s="285"/>
      <c r="E3" s="285"/>
      <c r="F3" s="285"/>
      <c r="G3" s="285"/>
      <c r="H3" s="285"/>
      <c r="I3" s="285"/>
      <c r="J3" s="285"/>
      <c r="K3" s="285"/>
      <c r="L3" s="285"/>
      <c r="M3" s="285"/>
      <c r="N3" s="285"/>
      <c r="O3" s="285"/>
      <c r="P3" s="288" t="s">
        <v>4</v>
      </c>
      <c r="Q3" s="288"/>
      <c r="R3" s="288"/>
      <c r="S3" s="292" t="s">
        <v>5</v>
      </c>
      <c r="T3" s="292"/>
      <c r="U3" s="292"/>
      <c r="V3" s="292"/>
      <c r="W3" s="287" t="s">
        <v>6</v>
      </c>
      <c r="X3" s="287"/>
      <c r="Y3" s="287"/>
      <c r="Z3" s="293" t="s">
        <v>7</v>
      </c>
      <c r="AA3" s="293"/>
      <c r="AB3" s="293"/>
      <c r="AC3" s="293"/>
      <c r="AD3" s="293"/>
      <c r="AE3" s="293"/>
      <c r="AF3" s="276" t="s">
        <v>824</v>
      </c>
      <c r="AG3" s="276"/>
      <c r="AH3" s="276"/>
      <c r="AI3" s="276"/>
      <c r="AJ3" s="276"/>
      <c r="AK3" s="276"/>
      <c r="AL3" s="277" t="s">
        <v>830</v>
      </c>
      <c r="AM3" s="277"/>
      <c r="AN3" s="277"/>
      <c r="AO3" s="277"/>
      <c r="AP3" s="277"/>
      <c r="AQ3" s="277"/>
      <c r="AR3" s="4"/>
      <c r="AS3" s="4"/>
      <c r="AT3" s="4"/>
      <c r="AU3" s="4"/>
      <c r="AV3" s="4"/>
      <c r="AW3" s="4"/>
      <c r="AX3" s="4"/>
    </row>
    <row r="4" spans="1:50" ht="33.75" customHeight="1" x14ac:dyDescent="0.25">
      <c r="A4" s="284" t="s">
        <v>8</v>
      </c>
      <c r="B4" s="284"/>
      <c r="C4" s="284"/>
      <c r="D4" s="284"/>
      <c r="E4" s="284"/>
      <c r="F4" s="284"/>
      <c r="G4" s="284"/>
      <c r="H4" s="284"/>
      <c r="I4" s="284"/>
      <c r="J4" s="284"/>
      <c r="K4" s="284"/>
      <c r="L4" s="284" t="s">
        <v>9</v>
      </c>
      <c r="M4" s="284"/>
      <c r="N4" s="284"/>
      <c r="O4" s="284"/>
      <c r="P4" s="225" t="s">
        <v>10</v>
      </c>
      <c r="Q4" s="225" t="s">
        <v>11</v>
      </c>
      <c r="R4" s="225" t="s">
        <v>12</v>
      </c>
      <c r="S4" s="291" t="s">
        <v>13</v>
      </c>
      <c r="T4" s="291"/>
      <c r="U4" s="291" t="s">
        <v>14</v>
      </c>
      <c r="V4" s="291"/>
      <c r="W4" s="286" t="s">
        <v>15</v>
      </c>
      <c r="X4" s="286"/>
      <c r="Y4" s="286"/>
      <c r="Z4" s="294" t="s">
        <v>16</v>
      </c>
      <c r="AA4" s="294"/>
      <c r="AB4" s="294"/>
      <c r="AC4" s="294"/>
      <c r="AD4" s="294"/>
      <c r="AE4" s="294"/>
      <c r="AF4" s="276" t="s">
        <v>825</v>
      </c>
      <c r="AG4" s="276"/>
      <c r="AH4" s="276"/>
      <c r="AI4" s="276"/>
      <c r="AJ4" s="276" t="s">
        <v>320</v>
      </c>
      <c r="AK4" s="276"/>
      <c r="AL4" s="277"/>
      <c r="AM4" s="277"/>
      <c r="AN4" s="277"/>
      <c r="AO4" s="277"/>
      <c r="AP4" s="277"/>
      <c r="AQ4" s="277"/>
      <c r="AR4" s="4"/>
      <c r="AS4" s="4"/>
      <c r="AT4" s="4"/>
      <c r="AU4" s="4"/>
      <c r="AV4" s="4"/>
      <c r="AW4" s="4"/>
      <c r="AX4" s="4"/>
    </row>
    <row r="5" spans="1:50" ht="103.5" customHeight="1" x14ac:dyDescent="0.25">
      <c r="A5" s="154" t="s">
        <v>17</v>
      </c>
      <c r="B5" s="153" t="s">
        <v>18</v>
      </c>
      <c r="C5" s="153" t="s">
        <v>19</v>
      </c>
      <c r="D5" s="152" t="s">
        <v>20</v>
      </c>
      <c r="E5" s="153" t="s">
        <v>21</v>
      </c>
      <c r="F5" s="152" t="s">
        <v>22</v>
      </c>
      <c r="G5" s="153" t="s">
        <v>23</v>
      </c>
      <c r="H5" s="153" t="s">
        <v>24</v>
      </c>
      <c r="I5" s="152" t="s">
        <v>25</v>
      </c>
      <c r="J5" s="252" t="s">
        <v>26</v>
      </c>
      <c r="K5" s="154" t="s">
        <v>27</v>
      </c>
      <c r="L5" s="152" t="s">
        <v>28</v>
      </c>
      <c r="M5" s="152" t="s">
        <v>29</v>
      </c>
      <c r="N5" s="153" t="s">
        <v>30</v>
      </c>
      <c r="O5" s="153" t="s">
        <v>31</v>
      </c>
      <c r="P5" s="154" t="s">
        <v>32</v>
      </c>
      <c r="Q5" s="154" t="s">
        <v>33</v>
      </c>
      <c r="R5" s="154" t="s">
        <v>34</v>
      </c>
      <c r="S5" s="152" t="s">
        <v>35</v>
      </c>
      <c r="T5" s="152" t="s">
        <v>36</v>
      </c>
      <c r="U5" s="153" t="s">
        <v>37</v>
      </c>
      <c r="V5" s="153" t="s">
        <v>38</v>
      </c>
      <c r="W5" s="154" t="s">
        <v>39</v>
      </c>
      <c r="X5" s="154" t="s">
        <v>40</v>
      </c>
      <c r="Y5" s="154" t="s">
        <v>41</v>
      </c>
      <c r="Z5" s="252" t="s">
        <v>42</v>
      </c>
      <c r="AA5" s="252" t="s">
        <v>43</v>
      </c>
      <c r="AB5" s="252" t="s">
        <v>44</v>
      </c>
      <c r="AC5" s="252" t="s">
        <v>45</v>
      </c>
      <c r="AD5" s="252" t="s">
        <v>46</v>
      </c>
      <c r="AE5" s="252" t="s">
        <v>47</v>
      </c>
      <c r="AF5" s="257" t="s">
        <v>826</v>
      </c>
      <c r="AG5" s="257" t="s">
        <v>827</v>
      </c>
      <c r="AH5" s="257" t="s">
        <v>828</v>
      </c>
      <c r="AI5" s="257" t="s">
        <v>336</v>
      </c>
      <c r="AJ5" s="257" t="s">
        <v>829</v>
      </c>
      <c r="AK5" s="257" t="s">
        <v>334</v>
      </c>
      <c r="AL5" s="258" t="s">
        <v>337</v>
      </c>
      <c r="AM5" s="258" t="s">
        <v>339</v>
      </c>
      <c r="AN5" s="258" t="s">
        <v>340</v>
      </c>
      <c r="AO5" s="258" t="s">
        <v>831</v>
      </c>
      <c r="AP5" s="258" t="s">
        <v>832</v>
      </c>
      <c r="AQ5" s="258" t="s">
        <v>342</v>
      </c>
      <c r="AR5" s="4"/>
      <c r="AS5" s="4"/>
      <c r="AT5" s="4"/>
      <c r="AU5" s="4"/>
      <c r="AV5" s="4"/>
      <c r="AW5" s="4"/>
      <c r="AX5" s="4"/>
    </row>
    <row r="6" spans="1:50" ht="180" customHeight="1" x14ac:dyDescent="0.25">
      <c r="A6" s="259">
        <v>1</v>
      </c>
      <c r="B6" s="260" t="s">
        <v>192</v>
      </c>
      <c r="C6" s="261" t="s">
        <v>193</v>
      </c>
      <c r="D6" s="261" t="s">
        <v>194</v>
      </c>
      <c r="E6" s="262" t="s">
        <v>75</v>
      </c>
      <c r="F6" s="262" t="s">
        <v>195</v>
      </c>
      <c r="G6" s="263" t="s">
        <v>53</v>
      </c>
      <c r="H6" s="262" t="s">
        <v>78</v>
      </c>
      <c r="I6" s="262" t="s">
        <v>155</v>
      </c>
      <c r="J6" s="262" t="s">
        <v>165</v>
      </c>
      <c r="K6" s="264" t="str">
        <f>+CONCATENATE(R_S_Digital[[#This Row],[Riesgo seguridad]], " debido a factores externos como: ",R_S_Digital[[#This Row],[Amenaza]])</f>
        <v>pérdida de confidencialidad debido a factores externos como: Fuga de información</v>
      </c>
      <c r="L6" s="265">
        <v>2</v>
      </c>
      <c r="M6" s="266" t="s">
        <v>189</v>
      </c>
      <c r="N6" s="267" t="s">
        <v>102</v>
      </c>
      <c r="O6" s="268" t="s">
        <v>196</v>
      </c>
      <c r="P6" s="261" t="s">
        <v>86</v>
      </c>
      <c r="Q6" s="269" t="s">
        <v>61</v>
      </c>
      <c r="R6" s="261" t="s">
        <v>97</v>
      </c>
      <c r="S6" s="270" t="s">
        <v>794</v>
      </c>
      <c r="T6" s="271" t="s">
        <v>197</v>
      </c>
      <c r="U6" s="270" t="s">
        <v>64</v>
      </c>
      <c r="V6" s="270" t="s">
        <v>65</v>
      </c>
      <c r="W6" s="261" t="s">
        <v>86</v>
      </c>
      <c r="X6" s="269" t="s">
        <v>84</v>
      </c>
      <c r="Y6" s="261" t="s">
        <v>67</v>
      </c>
      <c r="Z6" s="262" t="s">
        <v>68</v>
      </c>
      <c r="AA6" s="272" t="s">
        <v>198</v>
      </c>
      <c r="AB6" s="272" t="s">
        <v>823</v>
      </c>
      <c r="AC6" s="273">
        <v>45726</v>
      </c>
      <c r="AD6" s="273">
        <v>45869</v>
      </c>
      <c r="AE6" s="262" t="s">
        <v>71</v>
      </c>
      <c r="AF6" s="262"/>
      <c r="AG6" s="262"/>
      <c r="AH6" s="262"/>
      <c r="AI6" s="262"/>
      <c r="AJ6" s="262"/>
      <c r="AK6" s="262"/>
      <c r="AL6" s="262"/>
      <c r="AM6" s="262"/>
      <c r="AN6" s="262"/>
      <c r="AO6" s="262"/>
      <c r="AP6" s="262"/>
      <c r="AQ6" s="262"/>
    </row>
    <row r="7" spans="1:50" ht="92.25" customHeight="1" x14ac:dyDescent="0.25">
      <c r="A7" s="259">
        <f>+A6+1</f>
        <v>2</v>
      </c>
      <c r="B7" s="274" t="s">
        <v>145</v>
      </c>
      <c r="C7" s="261" t="s">
        <v>296</v>
      </c>
      <c r="D7" s="275" t="s">
        <v>297</v>
      </c>
      <c r="E7" s="262" t="s">
        <v>89</v>
      </c>
      <c r="F7" s="262" t="s">
        <v>298</v>
      </c>
      <c r="G7" s="263" t="s">
        <v>91</v>
      </c>
      <c r="H7" s="262" t="s">
        <v>54</v>
      </c>
      <c r="I7" s="262" t="s">
        <v>92</v>
      </c>
      <c r="J7" s="262" t="s">
        <v>143</v>
      </c>
      <c r="K7" s="264" t="str">
        <f>+CONCATENATE(R_S_Digital[[#This Row],[Riesgo seguridad]], " debido a factores externos como: ",R_S_Digital[[#This Row],[Amenaza]])</f>
        <v>pérdida de disponibilidad debido a factores externos como: Vandalismo</v>
      </c>
      <c r="L7" s="265">
        <v>5000</v>
      </c>
      <c r="M7" s="266" t="s">
        <v>299</v>
      </c>
      <c r="N7" s="267" t="s">
        <v>58</v>
      </c>
      <c r="O7" s="265" t="s">
        <v>59</v>
      </c>
      <c r="P7" s="261" t="s">
        <v>60</v>
      </c>
      <c r="Q7" s="269" t="s">
        <v>61</v>
      </c>
      <c r="R7" s="261" t="s">
        <v>97</v>
      </c>
      <c r="S7" s="270" t="s">
        <v>799</v>
      </c>
      <c r="T7" s="271" t="s">
        <v>300</v>
      </c>
      <c r="U7" s="270" t="s">
        <v>64</v>
      </c>
      <c r="V7" s="270" t="s">
        <v>65</v>
      </c>
      <c r="W7" s="261" t="s">
        <v>60</v>
      </c>
      <c r="X7" s="269" t="s">
        <v>84</v>
      </c>
      <c r="Y7" s="261" t="s">
        <v>97</v>
      </c>
      <c r="Z7" s="262" t="s">
        <v>68</v>
      </c>
      <c r="AA7" s="262" t="s">
        <v>301</v>
      </c>
      <c r="AB7" s="262" t="s">
        <v>797</v>
      </c>
      <c r="AC7" s="273">
        <v>45726</v>
      </c>
      <c r="AD7" s="273">
        <v>45869</v>
      </c>
      <c r="AE7" s="262" t="s">
        <v>71</v>
      </c>
      <c r="AF7" s="262"/>
      <c r="AG7" s="262"/>
      <c r="AH7" s="262"/>
      <c r="AI7" s="262"/>
      <c r="AJ7" s="262"/>
      <c r="AK7" s="262"/>
      <c r="AL7" s="262"/>
      <c r="AM7" s="262"/>
      <c r="AN7" s="262"/>
      <c r="AO7" s="262"/>
      <c r="AP7" s="262"/>
      <c r="AQ7" s="262"/>
    </row>
    <row r="8" spans="1:50" ht="115.5" x14ac:dyDescent="0.25">
      <c r="A8" s="259">
        <f t="shared" ref="A8:A41" si="0">+A7+1</f>
        <v>3</v>
      </c>
      <c r="B8" s="260" t="s">
        <v>145</v>
      </c>
      <c r="C8" s="261" t="s">
        <v>146</v>
      </c>
      <c r="D8" s="261" t="s">
        <v>147</v>
      </c>
      <c r="E8" s="262" t="s">
        <v>75</v>
      </c>
      <c r="F8" s="262" t="s">
        <v>148</v>
      </c>
      <c r="G8" s="263" t="s">
        <v>91</v>
      </c>
      <c r="H8" s="262" t="s">
        <v>54</v>
      </c>
      <c r="I8" s="262" t="s">
        <v>92</v>
      </c>
      <c r="J8" s="262" t="s">
        <v>143</v>
      </c>
      <c r="K8" s="264" t="str">
        <f>+CONCATENATE(R_S_Digital[[#This Row],[Riesgo seguridad]], " debido a factores externos como: ",R_S_Digital[[#This Row],[Amenaza]])</f>
        <v>pérdida de disponibilidad debido a factores externos como: Vandalismo</v>
      </c>
      <c r="L8" s="265">
        <v>9</v>
      </c>
      <c r="M8" s="266" t="s">
        <v>149</v>
      </c>
      <c r="N8" s="267" t="s">
        <v>58</v>
      </c>
      <c r="O8" s="265" t="s">
        <v>59</v>
      </c>
      <c r="P8" s="261" t="s">
        <v>83</v>
      </c>
      <c r="Q8" s="269" t="s">
        <v>61</v>
      </c>
      <c r="R8" s="261" t="s">
        <v>97</v>
      </c>
      <c r="S8" s="270" t="s">
        <v>804</v>
      </c>
      <c r="T8" s="271" t="s">
        <v>150</v>
      </c>
      <c r="U8" s="270" t="s">
        <v>64</v>
      </c>
      <c r="V8" s="270" t="s">
        <v>65</v>
      </c>
      <c r="W8" s="261" t="s">
        <v>83</v>
      </c>
      <c r="X8" s="269" t="s">
        <v>84</v>
      </c>
      <c r="Y8" s="261" t="s">
        <v>67</v>
      </c>
      <c r="Z8" s="262" t="s">
        <v>68</v>
      </c>
      <c r="AA8" s="262" t="s">
        <v>151</v>
      </c>
      <c r="AB8" s="262" t="s">
        <v>152</v>
      </c>
      <c r="AC8" s="273">
        <v>45726</v>
      </c>
      <c r="AD8" s="273">
        <v>45869</v>
      </c>
      <c r="AE8" s="262" t="s">
        <v>71</v>
      </c>
      <c r="AF8" s="262"/>
      <c r="AG8" s="262"/>
      <c r="AH8" s="262"/>
      <c r="AI8" s="262"/>
      <c r="AJ8" s="262"/>
      <c r="AK8" s="262"/>
      <c r="AL8" s="262"/>
      <c r="AM8" s="262"/>
      <c r="AN8" s="262"/>
      <c r="AO8" s="262"/>
      <c r="AP8" s="262"/>
      <c r="AQ8" s="262"/>
    </row>
    <row r="9" spans="1:50" ht="66" x14ac:dyDescent="0.25">
      <c r="A9" s="259">
        <f t="shared" si="0"/>
        <v>4</v>
      </c>
      <c r="B9" s="260" t="s">
        <v>145</v>
      </c>
      <c r="C9" s="261" t="s">
        <v>146</v>
      </c>
      <c r="D9" s="261" t="s">
        <v>153</v>
      </c>
      <c r="E9" s="262" t="s">
        <v>75</v>
      </c>
      <c r="F9" s="262" t="s">
        <v>154</v>
      </c>
      <c r="G9" s="263" t="s">
        <v>53</v>
      </c>
      <c r="H9" s="262" t="s">
        <v>78</v>
      </c>
      <c r="I9" s="262" t="s">
        <v>155</v>
      </c>
      <c r="J9" s="262" t="s">
        <v>156</v>
      </c>
      <c r="K9" s="264" t="str">
        <f>+CONCATENATE(R_S_Digital[[#This Row],[Riesgo seguridad]], " debido a factores externos como: ",R_S_Digital[[#This Row],[Amenaza]])</f>
        <v>pérdida de confidencialidad debido a factores externos como: Fuga de información</v>
      </c>
      <c r="L9" s="265">
        <v>31</v>
      </c>
      <c r="M9" s="266" t="s">
        <v>157</v>
      </c>
      <c r="N9" s="267" t="s">
        <v>102</v>
      </c>
      <c r="O9" s="265" t="s">
        <v>103</v>
      </c>
      <c r="P9" s="261" t="s">
        <v>127</v>
      </c>
      <c r="Q9" s="269" t="s">
        <v>84</v>
      </c>
      <c r="R9" s="261" t="s">
        <v>67</v>
      </c>
      <c r="S9" s="270" t="s">
        <v>805</v>
      </c>
      <c r="T9" s="271" t="s">
        <v>158</v>
      </c>
      <c r="U9" s="270" t="s">
        <v>64</v>
      </c>
      <c r="V9" s="270" t="s">
        <v>65</v>
      </c>
      <c r="W9" s="261" t="s">
        <v>127</v>
      </c>
      <c r="X9" s="269" t="s">
        <v>95</v>
      </c>
      <c r="Y9" s="261" t="s">
        <v>62</v>
      </c>
      <c r="Z9" s="262" t="s">
        <v>68</v>
      </c>
      <c r="AA9" s="262" t="s">
        <v>159</v>
      </c>
      <c r="AB9" s="262" t="s">
        <v>160</v>
      </c>
      <c r="AC9" s="273">
        <v>45726</v>
      </c>
      <c r="AD9" s="273">
        <v>45869</v>
      </c>
      <c r="AE9" s="262" t="s">
        <v>71</v>
      </c>
      <c r="AF9" s="262"/>
      <c r="AG9" s="262"/>
      <c r="AH9" s="262"/>
      <c r="AI9" s="262"/>
      <c r="AJ9" s="262"/>
      <c r="AK9" s="262"/>
      <c r="AL9" s="262"/>
      <c r="AM9" s="262"/>
      <c r="AN9" s="262"/>
      <c r="AO9" s="262"/>
      <c r="AP9" s="262"/>
      <c r="AQ9" s="262"/>
    </row>
    <row r="10" spans="1:50" ht="82.5" x14ac:dyDescent="0.25">
      <c r="A10" s="259">
        <f t="shared" si="0"/>
        <v>5</v>
      </c>
      <c r="B10" s="260" t="s">
        <v>145</v>
      </c>
      <c r="C10" s="261" t="s">
        <v>146</v>
      </c>
      <c r="D10" s="261" t="s">
        <v>199</v>
      </c>
      <c r="E10" s="262" t="s">
        <v>75</v>
      </c>
      <c r="F10" s="262" t="s">
        <v>200</v>
      </c>
      <c r="G10" s="263" t="s">
        <v>53</v>
      </c>
      <c r="H10" s="262" t="s">
        <v>78</v>
      </c>
      <c r="I10" s="262" t="s">
        <v>155</v>
      </c>
      <c r="J10" s="262" t="s">
        <v>201</v>
      </c>
      <c r="K10" s="264" t="str">
        <f>+CONCATENATE(R_S_Digital[[#This Row],[Riesgo seguridad]], " debido a factores externos como: ",R_S_Digital[[#This Row],[Amenaza]])</f>
        <v>pérdida de confidencialidad debido a factores externos como: Fuga de información</v>
      </c>
      <c r="L10" s="265">
        <v>3</v>
      </c>
      <c r="M10" s="266" t="s">
        <v>202</v>
      </c>
      <c r="N10" s="267" t="s">
        <v>102</v>
      </c>
      <c r="O10" s="265" t="s">
        <v>196</v>
      </c>
      <c r="P10" s="261" t="s">
        <v>83</v>
      </c>
      <c r="Q10" s="269" t="s">
        <v>61</v>
      </c>
      <c r="R10" s="261" t="s">
        <v>97</v>
      </c>
      <c r="S10" s="270" t="s">
        <v>806</v>
      </c>
      <c r="T10" s="271" t="s">
        <v>158</v>
      </c>
      <c r="U10" s="270" t="s">
        <v>64</v>
      </c>
      <c r="V10" s="270" t="s">
        <v>65</v>
      </c>
      <c r="W10" s="261" t="s">
        <v>83</v>
      </c>
      <c r="X10" s="269" t="s">
        <v>95</v>
      </c>
      <c r="Y10" s="261" t="s">
        <v>62</v>
      </c>
      <c r="Z10" s="262" t="s">
        <v>68</v>
      </c>
      <c r="AA10" s="272" t="s">
        <v>198</v>
      </c>
      <c r="AB10" s="262" t="s">
        <v>160</v>
      </c>
      <c r="AC10" s="273">
        <v>45726</v>
      </c>
      <c r="AD10" s="273">
        <v>45869</v>
      </c>
      <c r="AE10" s="262" t="s">
        <v>71</v>
      </c>
      <c r="AF10" s="262"/>
      <c r="AG10" s="262"/>
      <c r="AH10" s="262"/>
      <c r="AI10" s="262"/>
      <c r="AJ10" s="262"/>
      <c r="AK10" s="262"/>
      <c r="AL10" s="262"/>
      <c r="AM10" s="262"/>
      <c r="AN10" s="262"/>
      <c r="AO10" s="262"/>
      <c r="AP10" s="262"/>
      <c r="AQ10" s="262"/>
    </row>
    <row r="11" spans="1:50" ht="82.5" x14ac:dyDescent="0.25">
      <c r="A11" s="259">
        <f t="shared" si="0"/>
        <v>6</v>
      </c>
      <c r="B11" s="260" t="s">
        <v>145</v>
      </c>
      <c r="C11" s="261" t="s">
        <v>146</v>
      </c>
      <c r="D11" s="261" t="s">
        <v>203</v>
      </c>
      <c r="E11" s="262" t="s">
        <v>75</v>
      </c>
      <c r="F11" s="262" t="s">
        <v>204</v>
      </c>
      <c r="G11" s="263" t="s">
        <v>53</v>
      </c>
      <c r="H11" s="262" t="s">
        <v>78</v>
      </c>
      <c r="I11" s="262" t="s">
        <v>155</v>
      </c>
      <c r="J11" s="262" t="s">
        <v>201</v>
      </c>
      <c r="K11" s="264" t="str">
        <f>+CONCATENATE(R_S_Digital[[#This Row],[Riesgo seguridad]], " debido a factores externos como: ",R_S_Digital[[#This Row],[Amenaza]])</f>
        <v>pérdida de confidencialidad debido a factores externos como: Fuga de información</v>
      </c>
      <c r="L11" s="265">
        <v>5000</v>
      </c>
      <c r="M11" s="266" t="s">
        <v>205</v>
      </c>
      <c r="N11" s="267" t="s">
        <v>102</v>
      </c>
      <c r="O11" s="265" t="s">
        <v>196</v>
      </c>
      <c r="P11" s="261" t="s">
        <v>60</v>
      </c>
      <c r="Q11" s="269" t="s">
        <v>61</v>
      </c>
      <c r="R11" s="261" t="s">
        <v>97</v>
      </c>
      <c r="S11" s="270" t="s">
        <v>806</v>
      </c>
      <c r="T11" s="271" t="s">
        <v>158</v>
      </c>
      <c r="U11" s="270" t="s">
        <v>64</v>
      </c>
      <c r="V11" s="270" t="s">
        <v>65</v>
      </c>
      <c r="W11" s="261" t="s">
        <v>60</v>
      </c>
      <c r="X11" s="269" t="s">
        <v>95</v>
      </c>
      <c r="Y11" s="261" t="s">
        <v>62</v>
      </c>
      <c r="Z11" s="262" t="s">
        <v>68</v>
      </c>
      <c r="AA11" s="272" t="s">
        <v>206</v>
      </c>
      <c r="AB11" s="262" t="s">
        <v>798</v>
      </c>
      <c r="AC11" s="273">
        <v>45726</v>
      </c>
      <c r="AD11" s="273">
        <v>45869</v>
      </c>
      <c r="AE11" s="262" t="s">
        <v>71</v>
      </c>
      <c r="AF11" s="262"/>
      <c r="AG11" s="262"/>
      <c r="AH11" s="262"/>
      <c r="AI11" s="262"/>
      <c r="AJ11" s="262"/>
      <c r="AK11" s="262"/>
      <c r="AL11" s="262"/>
      <c r="AM11" s="262"/>
      <c r="AN11" s="262"/>
      <c r="AO11" s="262"/>
      <c r="AP11" s="262"/>
      <c r="AQ11" s="262"/>
      <c r="AR11" s="4"/>
      <c r="AS11" s="4"/>
      <c r="AT11" s="4"/>
      <c r="AU11" s="4"/>
      <c r="AV11" s="4"/>
      <c r="AW11" s="4"/>
      <c r="AX11" s="4"/>
    </row>
    <row r="12" spans="1:50" ht="82.5" x14ac:dyDescent="0.25">
      <c r="A12" s="259">
        <f t="shared" si="0"/>
        <v>7</v>
      </c>
      <c r="B12" s="260" t="s">
        <v>207</v>
      </c>
      <c r="C12" s="261" t="s">
        <v>208</v>
      </c>
      <c r="D12" s="275" t="s">
        <v>209</v>
      </c>
      <c r="E12" s="272" t="s">
        <v>75</v>
      </c>
      <c r="F12" s="262" t="s">
        <v>210</v>
      </c>
      <c r="G12" s="263" t="s">
        <v>53</v>
      </c>
      <c r="H12" s="262" t="s">
        <v>78</v>
      </c>
      <c r="I12" s="262" t="s">
        <v>155</v>
      </c>
      <c r="J12" s="262" t="s">
        <v>211</v>
      </c>
      <c r="K12" s="264" t="str">
        <f>+CONCATENATE(R_S_Digital[[#This Row],[Riesgo seguridad]], " debido a factores externos como: ",R_S_Digital[[#This Row],[Amenaza]])</f>
        <v>pérdida de confidencialidad debido a factores externos como: Fuga de información</v>
      </c>
      <c r="L12" s="265">
        <v>15</v>
      </c>
      <c r="M12" s="266" t="s">
        <v>81</v>
      </c>
      <c r="N12" s="267" t="s">
        <v>58</v>
      </c>
      <c r="O12" s="265" t="s">
        <v>82</v>
      </c>
      <c r="P12" s="261" t="s">
        <v>83</v>
      </c>
      <c r="Q12" s="269" t="s">
        <v>84</v>
      </c>
      <c r="R12" s="261" t="s">
        <v>67</v>
      </c>
      <c r="S12" s="270" t="s">
        <v>807</v>
      </c>
      <c r="T12" s="271" t="s">
        <v>212</v>
      </c>
      <c r="U12" s="270" t="s">
        <v>64</v>
      </c>
      <c r="V12" s="270" t="s">
        <v>65</v>
      </c>
      <c r="W12" s="261" t="s">
        <v>83</v>
      </c>
      <c r="X12" s="269" t="s">
        <v>66</v>
      </c>
      <c r="Y12" s="261" t="s">
        <v>67</v>
      </c>
      <c r="Z12" s="262" t="s">
        <v>68</v>
      </c>
      <c r="AA12" s="262" t="s">
        <v>213</v>
      </c>
      <c r="AB12" s="262" t="s">
        <v>214</v>
      </c>
      <c r="AC12" s="273">
        <v>45726</v>
      </c>
      <c r="AD12" s="273">
        <v>45869</v>
      </c>
      <c r="AE12" s="262" t="s">
        <v>71</v>
      </c>
      <c r="AF12" s="262"/>
      <c r="AG12" s="262"/>
      <c r="AH12" s="262"/>
      <c r="AI12" s="262"/>
      <c r="AJ12" s="262"/>
      <c r="AK12" s="262"/>
      <c r="AL12" s="262"/>
      <c r="AM12" s="262"/>
      <c r="AN12" s="262"/>
      <c r="AO12" s="262"/>
      <c r="AP12" s="262"/>
      <c r="AQ12" s="262"/>
    </row>
    <row r="13" spans="1:50" ht="132" x14ac:dyDescent="0.25">
      <c r="A13" s="259">
        <f t="shared" si="0"/>
        <v>8</v>
      </c>
      <c r="B13" s="274" t="s">
        <v>244</v>
      </c>
      <c r="C13" s="261" t="s">
        <v>245</v>
      </c>
      <c r="D13" s="275" t="s">
        <v>246</v>
      </c>
      <c r="E13" s="262" t="s">
        <v>75</v>
      </c>
      <c r="F13" s="262" t="s">
        <v>247</v>
      </c>
      <c r="G13" s="263" t="s">
        <v>53</v>
      </c>
      <c r="H13" s="262" t="s">
        <v>164</v>
      </c>
      <c r="I13" s="262" t="s">
        <v>248</v>
      </c>
      <c r="J13" s="262" t="s">
        <v>249</v>
      </c>
      <c r="K13" s="264" t="str">
        <f>+CONCATENATE(R_S_Digital[[#This Row],[Riesgo seguridad]], " debido a factores externos como: ",R_S_Digital[[#This Row],[Amenaza]])</f>
        <v xml:space="preserve">pérdida de integridad debido a factores externos como: Indisponibilidad del SIIF NACION
</v>
      </c>
      <c r="L13" s="265">
        <v>12</v>
      </c>
      <c r="M13" s="266" t="s">
        <v>81</v>
      </c>
      <c r="N13" s="267" t="s">
        <v>58</v>
      </c>
      <c r="O13" s="265" t="s">
        <v>250</v>
      </c>
      <c r="P13" s="261" t="s">
        <v>83</v>
      </c>
      <c r="Q13" s="269" t="s">
        <v>61</v>
      </c>
      <c r="R13" s="261" t="s">
        <v>97</v>
      </c>
      <c r="S13" s="270" t="s">
        <v>251</v>
      </c>
      <c r="T13" s="271" t="s">
        <v>252</v>
      </c>
      <c r="U13" s="270" t="s">
        <v>64</v>
      </c>
      <c r="V13" s="270" t="s">
        <v>65</v>
      </c>
      <c r="W13" s="261" t="s">
        <v>83</v>
      </c>
      <c r="X13" s="269" t="s">
        <v>84</v>
      </c>
      <c r="Y13" s="261" t="s">
        <v>67</v>
      </c>
      <c r="Z13" s="262" t="s">
        <v>68</v>
      </c>
      <c r="AA13" s="262" t="s">
        <v>253</v>
      </c>
      <c r="AB13" s="262" t="s">
        <v>254</v>
      </c>
      <c r="AC13" s="273">
        <v>45726</v>
      </c>
      <c r="AD13" s="273">
        <v>45869</v>
      </c>
      <c r="AE13" s="262" t="s">
        <v>71</v>
      </c>
      <c r="AF13" s="262"/>
      <c r="AG13" s="262"/>
      <c r="AH13" s="262"/>
      <c r="AI13" s="262"/>
      <c r="AJ13" s="262"/>
      <c r="AK13" s="262"/>
      <c r="AL13" s="262"/>
      <c r="AM13" s="262"/>
      <c r="AN13" s="262"/>
      <c r="AO13" s="262"/>
      <c r="AP13" s="262"/>
      <c r="AQ13" s="262"/>
    </row>
    <row r="14" spans="1:50" ht="66" x14ac:dyDescent="0.25">
      <c r="A14" s="259">
        <f t="shared" si="0"/>
        <v>9</v>
      </c>
      <c r="B14" s="274" t="s">
        <v>244</v>
      </c>
      <c r="C14" s="261" t="s">
        <v>245</v>
      </c>
      <c r="D14" s="275" t="s">
        <v>275</v>
      </c>
      <c r="E14" s="262" t="s">
        <v>89</v>
      </c>
      <c r="F14" s="262" t="s">
        <v>276</v>
      </c>
      <c r="G14" s="263" t="s">
        <v>91</v>
      </c>
      <c r="H14" s="262" t="s">
        <v>54</v>
      </c>
      <c r="I14" s="262" t="s">
        <v>277</v>
      </c>
      <c r="J14" s="262" t="s">
        <v>278</v>
      </c>
      <c r="K14" s="264" t="str">
        <f>+CONCATENATE(R_S_Digital[[#This Row],[Riesgo seguridad]], " debido a factores externos como: ",R_S_Digital[[#This Row],[Amenaza]])</f>
        <v>pérdida de disponibilidad debido a factores externos como: Vandalismo - Obsolescencia del sistema</v>
      </c>
      <c r="L14" s="265">
        <v>4</v>
      </c>
      <c r="M14" s="266" t="s">
        <v>81</v>
      </c>
      <c r="N14" s="267" t="s">
        <v>58</v>
      </c>
      <c r="O14" s="265" t="s">
        <v>59</v>
      </c>
      <c r="P14" s="261" t="s">
        <v>83</v>
      </c>
      <c r="Q14" s="269" t="s">
        <v>61</v>
      </c>
      <c r="R14" s="261" t="s">
        <v>97</v>
      </c>
      <c r="S14" s="270" t="s">
        <v>799</v>
      </c>
      <c r="T14" s="271" t="s">
        <v>96</v>
      </c>
      <c r="U14" s="270" t="s">
        <v>64</v>
      </c>
      <c r="V14" s="270" t="s">
        <v>65</v>
      </c>
      <c r="W14" s="261" t="s">
        <v>83</v>
      </c>
      <c r="X14" s="269" t="s">
        <v>84</v>
      </c>
      <c r="Y14" s="261" t="s">
        <v>97</v>
      </c>
      <c r="Z14" s="262" t="s">
        <v>68</v>
      </c>
      <c r="AA14" s="262" t="s">
        <v>98</v>
      </c>
      <c r="AB14" s="262" t="s">
        <v>793</v>
      </c>
      <c r="AC14" s="273">
        <v>45726</v>
      </c>
      <c r="AD14" s="273">
        <v>45869</v>
      </c>
      <c r="AE14" s="262" t="s">
        <v>71</v>
      </c>
      <c r="AF14" s="262"/>
      <c r="AG14" s="262"/>
      <c r="AH14" s="262"/>
      <c r="AI14" s="262"/>
      <c r="AJ14" s="262"/>
      <c r="AK14" s="262"/>
      <c r="AL14" s="262"/>
      <c r="AM14" s="262"/>
      <c r="AN14" s="262"/>
      <c r="AO14" s="262"/>
      <c r="AP14" s="262"/>
      <c r="AQ14" s="262"/>
    </row>
    <row r="15" spans="1:50" ht="147.75" customHeight="1" x14ac:dyDescent="0.25">
      <c r="A15" s="259">
        <f t="shared" si="0"/>
        <v>10</v>
      </c>
      <c r="B15" s="274" t="s">
        <v>244</v>
      </c>
      <c r="C15" s="261" t="s">
        <v>245</v>
      </c>
      <c r="D15" s="275" t="s">
        <v>279</v>
      </c>
      <c r="E15" s="262" t="s">
        <v>89</v>
      </c>
      <c r="F15" s="262" t="s">
        <v>280</v>
      </c>
      <c r="G15" s="263" t="s">
        <v>91</v>
      </c>
      <c r="H15" s="262" t="s">
        <v>54</v>
      </c>
      <c r="I15" s="262" t="s">
        <v>281</v>
      </c>
      <c r="J15" s="262" t="s">
        <v>143</v>
      </c>
      <c r="K15" s="264" t="str">
        <f>+CONCATENATE(R_S_Digital[[#This Row],[Riesgo seguridad]], " debido a factores externos como: ",R_S_Digital[[#This Row],[Amenaza]])</f>
        <v>pérdida de disponibilidad debido a factores externos como: Fallas externas asociadas al ministerio de hacienda</v>
      </c>
      <c r="L15" s="265">
        <v>5001</v>
      </c>
      <c r="M15" s="266" t="s">
        <v>282</v>
      </c>
      <c r="N15" s="267" t="s">
        <v>58</v>
      </c>
      <c r="O15" s="265" t="s">
        <v>94</v>
      </c>
      <c r="P15" s="261" t="s">
        <v>106</v>
      </c>
      <c r="Q15" s="269" t="s">
        <v>95</v>
      </c>
      <c r="R15" s="261" t="s">
        <v>62</v>
      </c>
      <c r="S15" s="270" t="s">
        <v>795</v>
      </c>
      <c r="T15" s="271" t="s">
        <v>283</v>
      </c>
      <c r="U15" s="270" t="s">
        <v>64</v>
      </c>
      <c r="V15" s="270" t="s">
        <v>2</v>
      </c>
      <c r="W15" s="261" t="s">
        <v>106</v>
      </c>
      <c r="X15" s="269" t="s">
        <v>61</v>
      </c>
      <c r="Y15" s="261" t="s">
        <v>97</v>
      </c>
      <c r="Z15" s="262" t="s">
        <v>238</v>
      </c>
      <c r="AA15" s="262" t="s">
        <v>284</v>
      </c>
      <c r="AB15" s="262" t="s">
        <v>285</v>
      </c>
      <c r="AC15" s="273">
        <v>45726</v>
      </c>
      <c r="AD15" s="273">
        <v>45869</v>
      </c>
      <c r="AE15" s="262" t="s">
        <v>71</v>
      </c>
      <c r="AF15" s="262"/>
      <c r="AG15" s="262"/>
      <c r="AH15" s="262"/>
      <c r="AI15" s="262"/>
      <c r="AJ15" s="262"/>
      <c r="AK15" s="262"/>
      <c r="AL15" s="262"/>
      <c r="AM15" s="262"/>
      <c r="AN15" s="262"/>
      <c r="AO15" s="262"/>
      <c r="AP15" s="262"/>
      <c r="AQ15" s="262"/>
    </row>
    <row r="16" spans="1:50" ht="66" x14ac:dyDescent="0.25">
      <c r="A16" s="259">
        <f t="shared" si="0"/>
        <v>11</v>
      </c>
      <c r="B16" s="260" t="s">
        <v>107</v>
      </c>
      <c r="C16" s="261" t="s">
        <v>108</v>
      </c>
      <c r="D16" s="261" t="s">
        <v>109</v>
      </c>
      <c r="E16" s="262" t="s">
        <v>89</v>
      </c>
      <c r="F16" s="262" t="s">
        <v>110</v>
      </c>
      <c r="G16" s="263" t="s">
        <v>91</v>
      </c>
      <c r="H16" s="262" t="s">
        <v>54</v>
      </c>
      <c r="I16" s="262" t="s">
        <v>92</v>
      </c>
      <c r="J16" s="262" t="s">
        <v>111</v>
      </c>
      <c r="K16" s="264" t="str">
        <f>+CONCATENATE(R_S_Digital[[#This Row],[Riesgo seguridad]], " debido a factores externos como: ",R_S_Digital[[#This Row],[Amenaza]])</f>
        <v>pérdida de disponibilidad debido a factores externos como: Vandalismo</v>
      </c>
      <c r="L16" s="265">
        <v>5000</v>
      </c>
      <c r="M16" s="266" t="s">
        <v>81</v>
      </c>
      <c r="N16" s="267" t="s">
        <v>102</v>
      </c>
      <c r="O16" s="265" t="s">
        <v>103</v>
      </c>
      <c r="P16" s="261" t="s">
        <v>60</v>
      </c>
      <c r="Q16" s="269" t="s">
        <v>84</v>
      </c>
      <c r="R16" s="261" t="s">
        <v>97</v>
      </c>
      <c r="S16" s="270" t="s">
        <v>799</v>
      </c>
      <c r="T16" s="271" t="s">
        <v>96</v>
      </c>
      <c r="U16" s="270" t="s">
        <v>64</v>
      </c>
      <c r="V16" s="270" t="s">
        <v>65</v>
      </c>
      <c r="W16" s="261" t="s">
        <v>60</v>
      </c>
      <c r="X16" s="269" t="s">
        <v>66</v>
      </c>
      <c r="Y16" s="261" t="s">
        <v>67</v>
      </c>
      <c r="Z16" s="262" t="s">
        <v>68</v>
      </c>
      <c r="AA16" s="262" t="s">
        <v>98</v>
      </c>
      <c r="AB16" s="262" t="s">
        <v>793</v>
      </c>
      <c r="AC16" s="273">
        <v>45726</v>
      </c>
      <c r="AD16" s="273">
        <v>45869</v>
      </c>
      <c r="AE16" s="262" t="s">
        <v>71</v>
      </c>
      <c r="AF16" s="262"/>
      <c r="AG16" s="262"/>
      <c r="AH16" s="262"/>
      <c r="AI16" s="262"/>
      <c r="AJ16" s="262"/>
      <c r="AK16" s="262"/>
      <c r="AL16" s="262"/>
      <c r="AM16" s="262"/>
      <c r="AN16" s="262"/>
      <c r="AO16" s="262"/>
      <c r="AP16" s="262"/>
      <c r="AQ16" s="262"/>
      <c r="AR16" s="4"/>
      <c r="AS16" s="4"/>
      <c r="AT16" s="4"/>
      <c r="AU16" s="4"/>
      <c r="AV16" s="4"/>
      <c r="AW16" s="4"/>
      <c r="AX16" s="4"/>
    </row>
    <row r="17" spans="1:43" ht="92.25" customHeight="1" x14ac:dyDescent="0.25">
      <c r="A17" s="259">
        <f t="shared" si="0"/>
        <v>12</v>
      </c>
      <c r="B17" s="274" t="s">
        <v>107</v>
      </c>
      <c r="C17" s="261" t="s">
        <v>259</v>
      </c>
      <c r="D17" s="275" t="s">
        <v>260</v>
      </c>
      <c r="E17" s="262" t="s">
        <v>75</v>
      </c>
      <c r="F17" s="262" t="s">
        <v>261</v>
      </c>
      <c r="G17" s="263" t="s">
        <v>53</v>
      </c>
      <c r="H17" s="262" t="s">
        <v>164</v>
      </c>
      <c r="I17" s="262" t="s">
        <v>262</v>
      </c>
      <c r="J17" s="262" t="s">
        <v>263</v>
      </c>
      <c r="K17" s="264" t="str">
        <f>+CONCATENATE(R_S_Digital[[#This Row],[Riesgo seguridad]], " debido a factores externos como: ",R_S_Digital[[#This Row],[Amenaza]])</f>
        <v>pérdida de integridad debido a factores externos como: Empleados de la Entidad</v>
      </c>
      <c r="L17" s="265">
        <v>4</v>
      </c>
      <c r="M17" s="266" t="s">
        <v>264</v>
      </c>
      <c r="N17" s="267" t="s">
        <v>58</v>
      </c>
      <c r="O17" s="265" t="s">
        <v>265</v>
      </c>
      <c r="P17" s="261" t="s">
        <v>83</v>
      </c>
      <c r="Q17" s="269" t="s">
        <v>84</v>
      </c>
      <c r="R17" s="261" t="s">
        <v>67</v>
      </c>
      <c r="S17" s="270" t="s">
        <v>266</v>
      </c>
      <c r="T17" s="271" t="s">
        <v>267</v>
      </c>
      <c r="U17" s="270" t="s">
        <v>64</v>
      </c>
      <c r="V17" s="270" t="s">
        <v>65</v>
      </c>
      <c r="W17" s="261" t="s">
        <v>83</v>
      </c>
      <c r="X17" s="269" t="s">
        <v>66</v>
      </c>
      <c r="Y17" s="261" t="s">
        <v>67</v>
      </c>
      <c r="Z17" s="262" t="s">
        <v>68</v>
      </c>
      <c r="AA17" s="262" t="s">
        <v>268</v>
      </c>
      <c r="AB17" s="262" t="s">
        <v>269</v>
      </c>
      <c r="AC17" s="273">
        <v>45726</v>
      </c>
      <c r="AD17" s="273">
        <v>45869</v>
      </c>
      <c r="AE17" s="262" t="s">
        <v>71</v>
      </c>
      <c r="AF17" s="262"/>
      <c r="AG17" s="262"/>
      <c r="AH17" s="262"/>
      <c r="AI17" s="262"/>
      <c r="AJ17" s="262"/>
      <c r="AK17" s="262"/>
      <c r="AL17" s="262"/>
      <c r="AM17" s="262"/>
      <c r="AN17" s="262"/>
      <c r="AO17" s="262"/>
      <c r="AP17" s="262"/>
      <c r="AQ17" s="262"/>
    </row>
    <row r="18" spans="1:43" ht="135" customHeight="1" x14ac:dyDescent="0.25">
      <c r="A18" s="259">
        <f t="shared" si="0"/>
        <v>13</v>
      </c>
      <c r="B18" s="260" t="s">
        <v>107</v>
      </c>
      <c r="C18" s="261" t="s">
        <v>161</v>
      </c>
      <c r="D18" s="261" t="s">
        <v>162</v>
      </c>
      <c r="E18" s="262" t="s">
        <v>75</v>
      </c>
      <c r="F18" s="262" t="s">
        <v>163</v>
      </c>
      <c r="G18" s="263" t="s">
        <v>53</v>
      </c>
      <c r="H18" s="262" t="s">
        <v>164</v>
      </c>
      <c r="I18" s="262" t="s">
        <v>155</v>
      </c>
      <c r="J18" s="262" t="s">
        <v>165</v>
      </c>
      <c r="K18" s="264" t="str">
        <f>+CONCATENATE(R_S_Digital[[#This Row],[Riesgo seguridad]], " debido a factores externos como: ",R_S_Digital[[#This Row],[Amenaza]])</f>
        <v>pérdida de integridad debido a factores externos como: Fuga de información</v>
      </c>
      <c r="L18" s="265">
        <v>8</v>
      </c>
      <c r="M18" s="266" t="s">
        <v>166</v>
      </c>
      <c r="N18" s="267" t="s">
        <v>58</v>
      </c>
      <c r="O18" s="265" t="s">
        <v>167</v>
      </c>
      <c r="P18" s="261" t="s">
        <v>83</v>
      </c>
      <c r="Q18" s="269" t="s">
        <v>84</v>
      </c>
      <c r="R18" s="261" t="s">
        <v>67</v>
      </c>
      <c r="S18" s="270" t="s">
        <v>168</v>
      </c>
      <c r="T18" s="271" t="s">
        <v>169</v>
      </c>
      <c r="U18" s="270" t="s">
        <v>64</v>
      </c>
      <c r="V18" s="270" t="s">
        <v>65</v>
      </c>
      <c r="W18" s="261" t="s">
        <v>83</v>
      </c>
      <c r="X18" s="269" t="s">
        <v>121</v>
      </c>
      <c r="Y18" s="261" t="s">
        <v>170</v>
      </c>
      <c r="Z18" s="262" t="s">
        <v>171</v>
      </c>
      <c r="AA18" s="262" t="s">
        <v>172</v>
      </c>
      <c r="AB18" s="262" t="s">
        <v>173</v>
      </c>
      <c r="AC18" s="273">
        <v>45726</v>
      </c>
      <c r="AD18" s="273">
        <v>45869</v>
      </c>
      <c r="AE18" s="262" t="s">
        <v>71</v>
      </c>
      <c r="AF18" s="262"/>
      <c r="AG18" s="262"/>
      <c r="AH18" s="262"/>
      <c r="AI18" s="262"/>
      <c r="AJ18" s="262"/>
      <c r="AK18" s="262"/>
      <c r="AL18" s="262"/>
      <c r="AM18" s="262"/>
      <c r="AN18" s="262"/>
      <c r="AO18" s="262"/>
      <c r="AP18" s="262"/>
      <c r="AQ18" s="262"/>
    </row>
    <row r="19" spans="1:43" ht="49.5" x14ac:dyDescent="0.25">
      <c r="A19" s="259">
        <f t="shared" si="0"/>
        <v>14</v>
      </c>
      <c r="B19" s="260" t="s">
        <v>107</v>
      </c>
      <c r="C19" s="261" t="s">
        <v>161</v>
      </c>
      <c r="D19" s="261" t="s">
        <v>174</v>
      </c>
      <c r="E19" s="262" t="s">
        <v>75</v>
      </c>
      <c r="F19" s="262" t="s">
        <v>163</v>
      </c>
      <c r="G19" s="263" t="s">
        <v>91</v>
      </c>
      <c r="H19" s="262" t="s">
        <v>54</v>
      </c>
      <c r="I19" s="262" t="s">
        <v>175</v>
      </c>
      <c r="J19" s="262" t="s">
        <v>176</v>
      </c>
      <c r="K19" s="264" t="str">
        <f>+CONCATENATE(R_S_Digital[[#This Row],[Riesgo seguridad]], " debido a factores externos como: ",R_S_Digital[[#This Row],[Amenaza]])</f>
        <v>pérdida de disponibilidad debido a factores externos como: Falla de Microsoft365</v>
      </c>
      <c r="L19" s="265">
        <v>8</v>
      </c>
      <c r="M19" s="266" t="s">
        <v>177</v>
      </c>
      <c r="N19" s="267" t="s">
        <v>58</v>
      </c>
      <c r="O19" s="265" t="s">
        <v>120</v>
      </c>
      <c r="P19" s="261" t="s">
        <v>83</v>
      </c>
      <c r="Q19" s="269" t="s">
        <v>121</v>
      </c>
      <c r="R19" s="261" t="s">
        <v>170</v>
      </c>
      <c r="S19" s="270" t="s">
        <v>799</v>
      </c>
      <c r="T19" s="271" t="s">
        <v>178</v>
      </c>
      <c r="U19" s="270" t="s">
        <v>64</v>
      </c>
      <c r="V19" s="270" t="s">
        <v>65</v>
      </c>
      <c r="W19" s="261" t="s">
        <v>83</v>
      </c>
      <c r="X19" s="269" t="s">
        <v>121</v>
      </c>
      <c r="Y19" s="261" t="s">
        <v>170</v>
      </c>
      <c r="Z19" s="262" t="s">
        <v>171</v>
      </c>
      <c r="AA19" s="262" t="s">
        <v>179</v>
      </c>
      <c r="AB19" s="262" t="s">
        <v>793</v>
      </c>
      <c r="AC19" s="273">
        <v>45726</v>
      </c>
      <c r="AD19" s="273">
        <v>45869</v>
      </c>
      <c r="AE19" s="262" t="s">
        <v>71</v>
      </c>
      <c r="AF19" s="262"/>
      <c r="AG19" s="262"/>
      <c r="AH19" s="262"/>
      <c r="AI19" s="262"/>
      <c r="AJ19" s="262"/>
      <c r="AK19" s="262"/>
      <c r="AL19" s="262"/>
      <c r="AM19" s="262"/>
      <c r="AN19" s="262"/>
      <c r="AO19" s="262"/>
      <c r="AP19" s="262"/>
      <c r="AQ19" s="262"/>
    </row>
    <row r="20" spans="1:43" s="5" customFormat="1" ht="124.5" customHeight="1" x14ac:dyDescent="0.25">
      <c r="A20" s="259">
        <f t="shared" si="0"/>
        <v>15</v>
      </c>
      <c r="B20" s="260" t="s">
        <v>107</v>
      </c>
      <c r="C20" s="261" t="s">
        <v>161</v>
      </c>
      <c r="D20" s="261" t="s">
        <v>180</v>
      </c>
      <c r="E20" s="262" t="s">
        <v>89</v>
      </c>
      <c r="F20" s="262" t="s">
        <v>181</v>
      </c>
      <c r="G20" s="263" t="s">
        <v>91</v>
      </c>
      <c r="H20" s="262" t="s">
        <v>54</v>
      </c>
      <c r="I20" s="262" t="s">
        <v>182</v>
      </c>
      <c r="J20" s="262" t="s">
        <v>183</v>
      </c>
      <c r="K20" s="264" t="str">
        <f>+CONCATENATE(R_S_Digital[[#This Row],[Riesgo seguridad]], " debido a factores externos como: ",R_S_Digital[[#This Row],[Amenaza]])</f>
        <v>pérdida de disponibilidad debido a factores externos como: Indisponibilidad de la versión reciente por parte del proveedor</v>
      </c>
      <c r="L20" s="265">
        <v>10000</v>
      </c>
      <c r="M20" s="266" t="s">
        <v>184</v>
      </c>
      <c r="N20" s="267" t="s">
        <v>58</v>
      </c>
      <c r="O20" s="265" t="s">
        <v>185</v>
      </c>
      <c r="P20" s="261" t="s">
        <v>106</v>
      </c>
      <c r="Q20" s="269" t="s">
        <v>84</v>
      </c>
      <c r="R20" s="261" t="s">
        <v>97</v>
      </c>
      <c r="S20" s="270" t="s">
        <v>796</v>
      </c>
      <c r="T20" s="271" t="s">
        <v>186</v>
      </c>
      <c r="U20" s="270" t="s">
        <v>64</v>
      </c>
      <c r="V20" s="270" t="s">
        <v>65</v>
      </c>
      <c r="W20" s="261" t="s">
        <v>106</v>
      </c>
      <c r="X20" s="269" t="s">
        <v>66</v>
      </c>
      <c r="Y20" s="261" t="s">
        <v>97</v>
      </c>
      <c r="Z20" s="262" t="s">
        <v>68</v>
      </c>
      <c r="AA20" s="272" t="s">
        <v>187</v>
      </c>
      <c r="AB20" s="262" t="s">
        <v>793</v>
      </c>
      <c r="AC20" s="273">
        <v>45726</v>
      </c>
      <c r="AD20" s="273">
        <v>45869</v>
      </c>
      <c r="AE20" s="262" t="s">
        <v>71</v>
      </c>
      <c r="AF20" s="272"/>
      <c r="AG20" s="272"/>
      <c r="AH20" s="272"/>
      <c r="AI20" s="272"/>
      <c r="AJ20" s="272"/>
      <c r="AK20" s="272"/>
      <c r="AL20" s="272"/>
      <c r="AM20" s="272"/>
      <c r="AN20" s="272"/>
      <c r="AO20" s="272"/>
      <c r="AP20" s="272"/>
      <c r="AQ20" s="272"/>
    </row>
    <row r="21" spans="1:43" s="5" customFormat="1" ht="66" x14ac:dyDescent="0.25">
      <c r="A21" s="259">
        <f t="shared" si="0"/>
        <v>16</v>
      </c>
      <c r="B21" s="260" t="s">
        <v>107</v>
      </c>
      <c r="C21" s="261" t="s">
        <v>161</v>
      </c>
      <c r="D21" s="261" t="s">
        <v>428</v>
      </c>
      <c r="E21" s="262" t="s">
        <v>89</v>
      </c>
      <c r="F21" s="262" t="s">
        <v>188</v>
      </c>
      <c r="G21" s="263" t="s">
        <v>91</v>
      </c>
      <c r="H21" s="262" t="s">
        <v>54</v>
      </c>
      <c r="I21" s="262" t="s">
        <v>182</v>
      </c>
      <c r="J21" s="262" t="s">
        <v>183</v>
      </c>
      <c r="K21" s="264" t="str">
        <f>+CONCATENATE(R_S_Digital[[#This Row],[Riesgo seguridad]], " debido a factores externos como: ",R_S_Digital[[#This Row],[Amenaza]])</f>
        <v>pérdida de disponibilidad debido a factores externos como: Indisponibilidad de la versión reciente por parte del proveedor</v>
      </c>
      <c r="L21" s="265">
        <v>10000</v>
      </c>
      <c r="M21" s="266" t="s">
        <v>189</v>
      </c>
      <c r="N21" s="267" t="s">
        <v>58</v>
      </c>
      <c r="O21" s="265" t="s">
        <v>59</v>
      </c>
      <c r="P21" s="261" t="s">
        <v>106</v>
      </c>
      <c r="Q21" s="269" t="s">
        <v>61</v>
      </c>
      <c r="R21" s="261" t="s">
        <v>97</v>
      </c>
      <c r="S21" s="270" t="s">
        <v>799</v>
      </c>
      <c r="T21" s="271" t="s">
        <v>190</v>
      </c>
      <c r="U21" s="270" t="s">
        <v>105</v>
      </c>
      <c r="V21" s="270" t="s">
        <v>65</v>
      </c>
      <c r="W21" s="261" t="s">
        <v>106</v>
      </c>
      <c r="X21" s="269" t="s">
        <v>95</v>
      </c>
      <c r="Y21" s="261" t="s">
        <v>62</v>
      </c>
      <c r="Z21" s="262" t="s">
        <v>68</v>
      </c>
      <c r="AA21" s="272" t="s">
        <v>191</v>
      </c>
      <c r="AB21" s="262" t="s">
        <v>793</v>
      </c>
      <c r="AC21" s="273">
        <v>45726</v>
      </c>
      <c r="AD21" s="273">
        <v>45869</v>
      </c>
      <c r="AE21" s="262" t="s">
        <v>71</v>
      </c>
      <c r="AF21" s="272"/>
      <c r="AG21" s="272"/>
      <c r="AH21" s="272"/>
      <c r="AI21" s="272"/>
      <c r="AJ21" s="272"/>
      <c r="AK21" s="272"/>
      <c r="AL21" s="272"/>
      <c r="AM21" s="272"/>
      <c r="AN21" s="272"/>
      <c r="AO21" s="272"/>
      <c r="AP21" s="272"/>
      <c r="AQ21" s="272"/>
    </row>
    <row r="22" spans="1:43" s="5" customFormat="1" ht="148.5" x14ac:dyDescent="0.25">
      <c r="A22" s="259">
        <f t="shared" si="0"/>
        <v>17</v>
      </c>
      <c r="B22" s="274" t="s">
        <v>107</v>
      </c>
      <c r="C22" s="261" t="s">
        <v>259</v>
      </c>
      <c r="D22" s="275" t="s">
        <v>815</v>
      </c>
      <c r="E22" s="262" t="s">
        <v>75</v>
      </c>
      <c r="F22" s="262" t="s">
        <v>270</v>
      </c>
      <c r="G22" s="263" t="s">
        <v>53</v>
      </c>
      <c r="H22" s="262" t="s">
        <v>164</v>
      </c>
      <c r="I22" s="262" t="s">
        <v>262</v>
      </c>
      <c r="J22" s="262" t="s">
        <v>271</v>
      </c>
      <c r="K22" s="264" t="str">
        <f>+CONCATENATE(R_S_Digital[[#This Row],[Riesgo seguridad]], " debido a factores externos como: ",R_S_Digital[[#This Row],[Amenaza]])</f>
        <v>pérdida de integridad debido a factores externos como: Empleados de la Entidad</v>
      </c>
      <c r="L22" s="265">
        <v>3000</v>
      </c>
      <c r="M22" s="266" t="s">
        <v>81</v>
      </c>
      <c r="N22" s="267" t="s">
        <v>58</v>
      </c>
      <c r="O22" s="265" t="s">
        <v>250</v>
      </c>
      <c r="P22" s="261" t="s">
        <v>60</v>
      </c>
      <c r="Q22" s="269" t="s">
        <v>61</v>
      </c>
      <c r="R22" s="261" t="s">
        <v>97</v>
      </c>
      <c r="S22" s="270" t="s">
        <v>272</v>
      </c>
      <c r="T22" s="271" t="s">
        <v>273</v>
      </c>
      <c r="U22" s="270" t="s">
        <v>64</v>
      </c>
      <c r="V22" s="270" t="s">
        <v>65</v>
      </c>
      <c r="W22" s="261" t="s">
        <v>106</v>
      </c>
      <c r="X22" s="269" t="s">
        <v>95</v>
      </c>
      <c r="Y22" s="261" t="s">
        <v>62</v>
      </c>
      <c r="Z22" s="262" t="s">
        <v>68</v>
      </c>
      <c r="AA22" s="262" t="s">
        <v>274</v>
      </c>
      <c r="AB22" s="262" t="s">
        <v>820</v>
      </c>
      <c r="AC22" s="273">
        <v>45726</v>
      </c>
      <c r="AD22" s="273">
        <v>45869</v>
      </c>
      <c r="AE22" s="262" t="s">
        <v>71</v>
      </c>
      <c r="AF22" s="272"/>
      <c r="AG22" s="272"/>
      <c r="AH22" s="272"/>
      <c r="AI22" s="272"/>
      <c r="AJ22" s="272"/>
      <c r="AK22" s="272"/>
      <c r="AL22" s="272"/>
      <c r="AM22" s="272"/>
      <c r="AN22" s="272"/>
      <c r="AO22" s="272"/>
      <c r="AP22" s="272"/>
      <c r="AQ22" s="272"/>
    </row>
    <row r="23" spans="1:43" ht="130.5" customHeight="1" x14ac:dyDescent="0.25">
      <c r="A23" s="259">
        <f t="shared" si="0"/>
        <v>18</v>
      </c>
      <c r="B23" s="274" t="s">
        <v>107</v>
      </c>
      <c r="C23" s="261" t="s">
        <v>259</v>
      </c>
      <c r="D23" s="275" t="s">
        <v>816</v>
      </c>
      <c r="E23" s="262" t="s">
        <v>89</v>
      </c>
      <c r="F23" s="262" t="s">
        <v>110</v>
      </c>
      <c r="G23" s="263" t="s">
        <v>91</v>
      </c>
      <c r="H23" s="262" t="s">
        <v>54</v>
      </c>
      <c r="I23" s="262" t="s">
        <v>92</v>
      </c>
      <c r="J23" s="262" t="s">
        <v>302</v>
      </c>
      <c r="K23" s="264" t="str">
        <f>+CONCATENATE(R_S_Digital[[#This Row],[Riesgo seguridad]], " debido a factores externos como: ",R_S_Digital[[#This Row],[Amenaza]])</f>
        <v>pérdida de disponibilidad debido a factores externos como: Vandalismo</v>
      </c>
      <c r="L23" s="265">
        <v>501</v>
      </c>
      <c r="M23" s="266" t="s">
        <v>303</v>
      </c>
      <c r="N23" s="267" t="s">
        <v>58</v>
      </c>
      <c r="O23" s="265" t="s">
        <v>167</v>
      </c>
      <c r="P23" s="261" t="s">
        <v>60</v>
      </c>
      <c r="Q23" s="269" t="s">
        <v>66</v>
      </c>
      <c r="R23" s="261" t="s">
        <v>67</v>
      </c>
      <c r="S23" s="270" t="s">
        <v>802</v>
      </c>
      <c r="T23" s="271" t="s">
        <v>304</v>
      </c>
      <c r="U23" s="270" t="s">
        <v>64</v>
      </c>
      <c r="V23" s="270" t="s">
        <v>2</v>
      </c>
      <c r="W23" s="261" t="s">
        <v>60</v>
      </c>
      <c r="X23" s="269" t="s">
        <v>121</v>
      </c>
      <c r="Y23" s="261" t="s">
        <v>62</v>
      </c>
      <c r="Z23" s="262" t="s">
        <v>68</v>
      </c>
      <c r="AA23" s="262" t="s">
        <v>98</v>
      </c>
      <c r="AB23" s="262" t="s">
        <v>793</v>
      </c>
      <c r="AC23" s="273">
        <v>45726</v>
      </c>
      <c r="AD23" s="273">
        <v>45869</v>
      </c>
      <c r="AE23" s="262" t="s">
        <v>71</v>
      </c>
      <c r="AF23" s="262"/>
      <c r="AG23" s="262"/>
      <c r="AH23" s="262"/>
      <c r="AI23" s="262"/>
      <c r="AJ23" s="262"/>
      <c r="AK23" s="262"/>
      <c r="AL23" s="262"/>
      <c r="AM23" s="262"/>
      <c r="AN23" s="262"/>
      <c r="AO23" s="262"/>
      <c r="AP23" s="262"/>
      <c r="AQ23" s="262"/>
    </row>
    <row r="24" spans="1:43" ht="132" x14ac:dyDescent="0.25">
      <c r="A24" s="259">
        <f t="shared" si="0"/>
        <v>19</v>
      </c>
      <c r="B24" s="274" t="s">
        <v>107</v>
      </c>
      <c r="C24" s="261" t="s">
        <v>259</v>
      </c>
      <c r="D24" s="275" t="s">
        <v>817</v>
      </c>
      <c r="E24" s="262" t="s">
        <v>89</v>
      </c>
      <c r="F24" s="262" t="s">
        <v>305</v>
      </c>
      <c r="G24" s="263" t="s">
        <v>91</v>
      </c>
      <c r="H24" s="262" t="s">
        <v>54</v>
      </c>
      <c r="I24" s="262" t="s">
        <v>92</v>
      </c>
      <c r="J24" s="262" t="s">
        <v>302</v>
      </c>
      <c r="K24" s="264" t="str">
        <f>+CONCATENATE(R_S_Digital[[#This Row],[Riesgo seguridad]], " debido a factores externos como: ",R_S_Digital[[#This Row],[Amenaza]])</f>
        <v>pérdida de disponibilidad debido a factores externos como: Vandalismo</v>
      </c>
      <c r="L24" s="265">
        <v>501</v>
      </c>
      <c r="M24" s="266" t="s">
        <v>81</v>
      </c>
      <c r="N24" s="267" t="s">
        <v>58</v>
      </c>
      <c r="O24" s="265" t="s">
        <v>185</v>
      </c>
      <c r="P24" s="261" t="s">
        <v>127</v>
      </c>
      <c r="Q24" s="269" t="s">
        <v>84</v>
      </c>
      <c r="R24" s="261" t="s">
        <v>67</v>
      </c>
      <c r="S24" s="270" t="s">
        <v>799</v>
      </c>
      <c r="T24" s="271" t="s">
        <v>306</v>
      </c>
      <c r="U24" s="270" t="s">
        <v>64</v>
      </c>
      <c r="V24" s="270" t="s">
        <v>65</v>
      </c>
      <c r="W24" s="261" t="s">
        <v>127</v>
      </c>
      <c r="X24" s="269" t="s">
        <v>66</v>
      </c>
      <c r="Y24" s="261" t="s">
        <v>62</v>
      </c>
      <c r="Z24" s="262" t="s">
        <v>68</v>
      </c>
      <c r="AA24" s="262" t="s">
        <v>307</v>
      </c>
      <c r="AB24" s="262" t="s">
        <v>792</v>
      </c>
      <c r="AC24" s="273">
        <v>45726</v>
      </c>
      <c r="AD24" s="273">
        <v>45869</v>
      </c>
      <c r="AE24" s="267" t="s">
        <v>71</v>
      </c>
      <c r="AF24" s="262"/>
      <c r="AG24" s="262"/>
      <c r="AH24" s="262"/>
      <c r="AI24" s="262"/>
      <c r="AJ24" s="262"/>
      <c r="AK24" s="262"/>
      <c r="AL24" s="262"/>
      <c r="AM24" s="262"/>
      <c r="AN24" s="262"/>
      <c r="AO24" s="262"/>
      <c r="AP24" s="262"/>
      <c r="AQ24" s="262"/>
    </row>
    <row r="25" spans="1:43" ht="82.5" x14ac:dyDescent="0.25">
      <c r="A25" s="259">
        <f t="shared" si="0"/>
        <v>20</v>
      </c>
      <c r="B25" s="274" t="s">
        <v>107</v>
      </c>
      <c r="C25" s="261" t="s">
        <v>259</v>
      </c>
      <c r="D25" s="275" t="s">
        <v>818</v>
      </c>
      <c r="E25" s="262" t="s">
        <v>89</v>
      </c>
      <c r="F25" s="262" t="s">
        <v>309</v>
      </c>
      <c r="G25" s="263" t="s">
        <v>289</v>
      </c>
      <c r="H25" s="262" t="s">
        <v>54</v>
      </c>
      <c r="I25" s="262" t="s">
        <v>310</v>
      </c>
      <c r="J25" s="262" t="s">
        <v>311</v>
      </c>
      <c r="K25" s="264" t="str">
        <f>+CONCATENATE(R_S_Digital[[#This Row],[Riesgo seguridad]], " debido a factores externos como: ",R_S_Digital[[#This Row],[Amenaza]])</f>
        <v>pérdida de disponibilidad debido a factores externos como: Imcumplimiento normativo que puede derivar sanciones al ICC</v>
      </c>
      <c r="L25" s="265">
        <v>501</v>
      </c>
      <c r="M25" s="266" t="s">
        <v>312</v>
      </c>
      <c r="N25" s="267" t="s">
        <v>58</v>
      </c>
      <c r="O25" s="265" t="s">
        <v>167</v>
      </c>
      <c r="P25" s="261" t="s">
        <v>127</v>
      </c>
      <c r="Q25" s="269" t="s">
        <v>66</v>
      </c>
      <c r="R25" s="261" t="s">
        <v>67</v>
      </c>
      <c r="S25" s="270" t="s">
        <v>799</v>
      </c>
      <c r="T25" s="271" t="s">
        <v>313</v>
      </c>
      <c r="U25" s="270" t="s">
        <v>64</v>
      </c>
      <c r="V25" s="270" t="s">
        <v>65</v>
      </c>
      <c r="W25" s="261" t="s">
        <v>106</v>
      </c>
      <c r="X25" s="269" t="s">
        <v>95</v>
      </c>
      <c r="Y25" s="261" t="s">
        <v>62</v>
      </c>
      <c r="Z25" s="262" t="s">
        <v>68</v>
      </c>
      <c r="AA25" s="262" t="s">
        <v>800</v>
      </c>
      <c r="AB25" s="262" t="s">
        <v>314</v>
      </c>
      <c r="AC25" s="273">
        <v>45726</v>
      </c>
      <c r="AD25" s="273">
        <v>45869</v>
      </c>
      <c r="AE25" s="262" t="s">
        <v>71</v>
      </c>
      <c r="AF25" s="262"/>
      <c r="AG25" s="262"/>
      <c r="AH25" s="262"/>
      <c r="AI25" s="262"/>
      <c r="AJ25" s="262"/>
      <c r="AK25" s="262"/>
      <c r="AL25" s="262"/>
      <c r="AM25" s="262"/>
      <c r="AN25" s="262"/>
      <c r="AO25" s="262"/>
      <c r="AP25" s="262"/>
      <c r="AQ25" s="262"/>
    </row>
    <row r="26" spans="1:43" ht="82.5" x14ac:dyDescent="0.25">
      <c r="A26" s="259">
        <f t="shared" si="0"/>
        <v>21</v>
      </c>
      <c r="B26" s="260" t="s">
        <v>72</v>
      </c>
      <c r="C26" s="261" t="s">
        <v>73</v>
      </c>
      <c r="D26" s="261" t="s">
        <v>74</v>
      </c>
      <c r="E26" s="262" t="s">
        <v>75</v>
      </c>
      <c r="F26" s="262" t="s">
        <v>76</v>
      </c>
      <c r="G26" s="263" t="s">
        <v>77</v>
      </c>
      <c r="H26" s="262" t="s">
        <v>78</v>
      </c>
      <c r="I26" s="262" t="s">
        <v>79</v>
      </c>
      <c r="J26" s="262" t="s">
        <v>80</v>
      </c>
      <c r="K26" s="264" t="str">
        <f>+CONCATENATE(R_S_Digital[[#This Row],[Riesgo seguridad]], " debido a factores externos como: ",R_S_Digital[[#This Row],[Amenaza]])</f>
        <v>pérdida de confidencialidad debido a factores externos como: Acceso inadecuado a la información por parte de personal no autorizado</v>
      </c>
      <c r="L26" s="265">
        <v>24</v>
      </c>
      <c r="M26" s="266" t="s">
        <v>81</v>
      </c>
      <c r="N26" s="267" t="s">
        <v>58</v>
      </c>
      <c r="O26" s="265" t="s">
        <v>82</v>
      </c>
      <c r="P26" s="261" t="s">
        <v>83</v>
      </c>
      <c r="Q26" s="269" t="s">
        <v>84</v>
      </c>
      <c r="R26" s="261" t="s">
        <v>67</v>
      </c>
      <c r="S26" s="270" t="s">
        <v>803</v>
      </c>
      <c r="T26" s="271" t="s">
        <v>85</v>
      </c>
      <c r="U26" s="270" t="s">
        <v>64</v>
      </c>
      <c r="V26" s="270" t="s">
        <v>65</v>
      </c>
      <c r="W26" s="261" t="s">
        <v>86</v>
      </c>
      <c r="X26" s="269" t="s">
        <v>84</v>
      </c>
      <c r="Y26" s="261" t="s">
        <v>67</v>
      </c>
      <c r="Z26" s="262" t="s">
        <v>68</v>
      </c>
      <c r="AA26" s="262" t="s">
        <v>87</v>
      </c>
      <c r="AB26" s="262" t="s">
        <v>819</v>
      </c>
      <c r="AC26" s="273">
        <v>45726</v>
      </c>
      <c r="AD26" s="273">
        <v>45869</v>
      </c>
      <c r="AE26" s="262" t="s">
        <v>71</v>
      </c>
      <c r="AF26" s="262"/>
      <c r="AG26" s="262"/>
      <c r="AH26" s="262"/>
      <c r="AI26" s="262"/>
      <c r="AJ26" s="262"/>
      <c r="AK26" s="262"/>
      <c r="AL26" s="262"/>
      <c r="AM26" s="262"/>
      <c r="AN26" s="262"/>
      <c r="AO26" s="262"/>
      <c r="AP26" s="262"/>
      <c r="AQ26" s="262"/>
    </row>
    <row r="27" spans="1:43" ht="49.5" x14ac:dyDescent="0.25">
      <c r="A27" s="259">
        <f t="shared" si="0"/>
        <v>22</v>
      </c>
      <c r="B27" s="260" t="s">
        <v>72</v>
      </c>
      <c r="C27" s="261" t="s">
        <v>73</v>
      </c>
      <c r="D27" s="261" t="s">
        <v>88</v>
      </c>
      <c r="E27" s="262" t="s">
        <v>89</v>
      </c>
      <c r="F27" s="262" t="s">
        <v>90</v>
      </c>
      <c r="G27" s="263" t="s">
        <v>91</v>
      </c>
      <c r="H27" s="262" t="s">
        <v>54</v>
      </c>
      <c r="I27" s="262" t="s">
        <v>92</v>
      </c>
      <c r="J27" s="262" t="s">
        <v>93</v>
      </c>
      <c r="K27" s="264" t="str">
        <f>+CONCATENATE(R_S_Digital[[#This Row],[Riesgo seguridad]], " debido a factores externos como: ",R_S_Digital[[#This Row],[Amenaza]])</f>
        <v>pérdida de disponibilidad debido a factores externos como: Vandalismo</v>
      </c>
      <c r="L27" s="265">
        <v>5000</v>
      </c>
      <c r="M27" s="266" t="s">
        <v>81</v>
      </c>
      <c r="N27" s="267" t="s">
        <v>58</v>
      </c>
      <c r="O27" s="265" t="s">
        <v>94</v>
      </c>
      <c r="P27" s="261" t="s">
        <v>60</v>
      </c>
      <c r="Q27" s="269" t="s">
        <v>95</v>
      </c>
      <c r="R27" s="261" t="s">
        <v>62</v>
      </c>
      <c r="S27" s="270" t="s">
        <v>799</v>
      </c>
      <c r="T27" s="271" t="s">
        <v>96</v>
      </c>
      <c r="U27" s="270" t="s">
        <v>64</v>
      </c>
      <c r="V27" s="270" t="s">
        <v>65</v>
      </c>
      <c r="W27" s="261" t="s">
        <v>60</v>
      </c>
      <c r="X27" s="269" t="s">
        <v>61</v>
      </c>
      <c r="Y27" s="261" t="s">
        <v>97</v>
      </c>
      <c r="Z27" s="262" t="s">
        <v>68</v>
      </c>
      <c r="AA27" s="262" t="s">
        <v>98</v>
      </c>
      <c r="AB27" s="262" t="s">
        <v>793</v>
      </c>
      <c r="AC27" s="273">
        <v>45726</v>
      </c>
      <c r="AD27" s="273">
        <v>45869</v>
      </c>
      <c r="AE27" s="262" t="s">
        <v>71</v>
      </c>
      <c r="AF27" s="262"/>
      <c r="AG27" s="262"/>
      <c r="AH27" s="262"/>
      <c r="AI27" s="262"/>
      <c r="AJ27" s="262"/>
      <c r="AK27" s="262"/>
      <c r="AL27" s="262"/>
      <c r="AM27" s="262"/>
      <c r="AN27" s="262"/>
      <c r="AO27" s="262"/>
      <c r="AP27" s="262"/>
      <c r="AQ27" s="262"/>
    </row>
    <row r="28" spans="1:43" ht="66" x14ac:dyDescent="0.25">
      <c r="A28" s="259">
        <f t="shared" si="0"/>
        <v>23</v>
      </c>
      <c r="B28" s="260" t="s">
        <v>72</v>
      </c>
      <c r="C28" s="261" t="s">
        <v>73</v>
      </c>
      <c r="D28" s="261" t="s">
        <v>99</v>
      </c>
      <c r="E28" s="262" t="s">
        <v>100</v>
      </c>
      <c r="F28" s="262" t="s">
        <v>101</v>
      </c>
      <c r="G28" s="263" t="s">
        <v>91</v>
      </c>
      <c r="H28" s="262" t="s">
        <v>54</v>
      </c>
      <c r="I28" s="262" t="s">
        <v>92</v>
      </c>
      <c r="J28" s="262" t="s">
        <v>93</v>
      </c>
      <c r="K28" s="264" t="str">
        <f>+CONCATENATE(R_S_Digital[[#This Row],[Riesgo seguridad]], " debido a factores externos como: ",R_S_Digital[[#This Row],[Amenaza]])</f>
        <v>pérdida de disponibilidad debido a factores externos como: Vandalismo</v>
      </c>
      <c r="L28" s="265">
        <v>5000</v>
      </c>
      <c r="M28" s="266" t="s">
        <v>81</v>
      </c>
      <c r="N28" s="267" t="s">
        <v>102</v>
      </c>
      <c r="O28" s="265" t="s">
        <v>103</v>
      </c>
      <c r="P28" s="261" t="s">
        <v>60</v>
      </c>
      <c r="Q28" s="269" t="s">
        <v>84</v>
      </c>
      <c r="R28" s="261" t="s">
        <v>97</v>
      </c>
      <c r="S28" s="270" t="s">
        <v>808</v>
      </c>
      <c r="T28" s="271" t="s">
        <v>104</v>
      </c>
      <c r="U28" s="270" t="s">
        <v>105</v>
      </c>
      <c r="V28" s="270" t="s">
        <v>65</v>
      </c>
      <c r="W28" s="261" t="s">
        <v>106</v>
      </c>
      <c r="X28" s="269" t="s">
        <v>95</v>
      </c>
      <c r="Y28" s="261" t="s">
        <v>62</v>
      </c>
      <c r="Z28" s="262" t="s">
        <v>68</v>
      </c>
      <c r="AA28" s="262" t="s">
        <v>98</v>
      </c>
      <c r="AB28" s="262" t="s">
        <v>793</v>
      </c>
      <c r="AC28" s="273">
        <v>45726</v>
      </c>
      <c r="AD28" s="273">
        <v>45869</v>
      </c>
      <c r="AE28" s="262" t="s">
        <v>71</v>
      </c>
      <c r="AF28" s="262"/>
      <c r="AG28" s="262"/>
      <c r="AH28" s="262"/>
      <c r="AI28" s="262"/>
      <c r="AJ28" s="262"/>
      <c r="AK28" s="262"/>
      <c r="AL28" s="262"/>
      <c r="AM28" s="262"/>
      <c r="AN28" s="262"/>
      <c r="AO28" s="262"/>
      <c r="AP28" s="262"/>
      <c r="AQ28" s="262"/>
    </row>
    <row r="29" spans="1:43" ht="49.5" x14ac:dyDescent="0.25">
      <c r="A29" s="259">
        <f t="shared" si="0"/>
        <v>24</v>
      </c>
      <c r="B29" s="274" t="s">
        <v>72</v>
      </c>
      <c r="C29" s="261" t="s">
        <v>255</v>
      </c>
      <c r="D29" s="275" t="s">
        <v>256</v>
      </c>
      <c r="E29" s="262" t="s">
        <v>89</v>
      </c>
      <c r="F29" s="262" t="s">
        <v>257</v>
      </c>
      <c r="G29" s="263" t="s">
        <v>91</v>
      </c>
      <c r="H29" s="262" t="s">
        <v>54</v>
      </c>
      <c r="I29" s="262" t="s">
        <v>92</v>
      </c>
      <c r="J29" s="262" t="s">
        <v>143</v>
      </c>
      <c r="K29" s="264" t="str">
        <f>+CONCATENATE(R_S_Digital[[#This Row],[Riesgo seguridad]], " debido a factores externos como: ",R_S_Digital[[#This Row],[Amenaza]])</f>
        <v>pérdida de disponibilidad debido a factores externos como: Vandalismo</v>
      </c>
      <c r="L29" s="265">
        <v>10000</v>
      </c>
      <c r="M29" s="266" t="s">
        <v>81</v>
      </c>
      <c r="N29" s="267" t="s">
        <v>58</v>
      </c>
      <c r="O29" s="265" t="s">
        <v>94</v>
      </c>
      <c r="P29" s="261" t="s">
        <v>106</v>
      </c>
      <c r="Q29" s="269" t="s">
        <v>95</v>
      </c>
      <c r="R29" s="261" t="s">
        <v>62</v>
      </c>
      <c r="S29" s="270" t="s">
        <v>799</v>
      </c>
      <c r="T29" s="271" t="s">
        <v>258</v>
      </c>
      <c r="U29" s="270" t="s">
        <v>105</v>
      </c>
      <c r="V29" s="270" t="s">
        <v>2</v>
      </c>
      <c r="W29" s="261" t="s">
        <v>106</v>
      </c>
      <c r="X29" s="269" t="s">
        <v>61</v>
      </c>
      <c r="Y29" s="261" t="s">
        <v>62</v>
      </c>
      <c r="Z29" s="262" t="s">
        <v>68</v>
      </c>
      <c r="AA29" s="262" t="s">
        <v>98</v>
      </c>
      <c r="AB29" s="262" t="s">
        <v>793</v>
      </c>
      <c r="AC29" s="273">
        <v>45726</v>
      </c>
      <c r="AD29" s="273">
        <v>45869</v>
      </c>
      <c r="AE29" s="262" t="s">
        <v>71</v>
      </c>
      <c r="AF29" s="262"/>
      <c r="AG29" s="262"/>
      <c r="AH29" s="262"/>
      <c r="AI29" s="262"/>
      <c r="AJ29" s="262"/>
      <c r="AK29" s="262"/>
      <c r="AL29" s="262"/>
      <c r="AM29" s="262"/>
      <c r="AN29" s="262"/>
      <c r="AO29" s="262"/>
      <c r="AP29" s="262"/>
      <c r="AQ29" s="262"/>
    </row>
    <row r="30" spans="1:43" ht="131.25" customHeight="1" x14ac:dyDescent="0.25">
      <c r="A30" s="259">
        <f t="shared" si="0"/>
        <v>25</v>
      </c>
      <c r="B30" s="260" t="s">
        <v>112</v>
      </c>
      <c r="C30" s="261" t="s">
        <v>113</v>
      </c>
      <c r="D30" s="261" t="s">
        <v>114</v>
      </c>
      <c r="E30" s="262" t="s">
        <v>115</v>
      </c>
      <c r="F30" s="262" t="s">
        <v>116</v>
      </c>
      <c r="G30" s="263" t="s">
        <v>91</v>
      </c>
      <c r="H30" s="262" t="s">
        <v>54</v>
      </c>
      <c r="I30" s="262" t="s">
        <v>117</v>
      </c>
      <c r="J30" s="262" t="s">
        <v>118</v>
      </c>
      <c r="K30" s="264" t="str">
        <f>+CONCATENATE(R_S_Digital[[#This Row],[Riesgo seguridad]], " debido a factores externos como: ",R_S_Digital[[#This Row],[Amenaza]])</f>
        <v>pérdida de disponibilidad debido a factores externos como: Cambios en la empresa de vigilancia afectando el monitoreo.</v>
      </c>
      <c r="L30" s="265">
        <v>8760</v>
      </c>
      <c r="M30" s="266" t="s">
        <v>119</v>
      </c>
      <c r="N30" s="267" t="s">
        <v>58</v>
      </c>
      <c r="O30" s="265" t="s">
        <v>120</v>
      </c>
      <c r="P30" s="261" t="s">
        <v>106</v>
      </c>
      <c r="Q30" s="269" t="s">
        <v>121</v>
      </c>
      <c r="R30" s="261" t="s">
        <v>97</v>
      </c>
      <c r="S30" s="270" t="s">
        <v>809</v>
      </c>
      <c r="T30" s="271" t="s">
        <v>122</v>
      </c>
      <c r="U30" s="270" t="s">
        <v>64</v>
      </c>
      <c r="V30" s="270" t="s">
        <v>65</v>
      </c>
      <c r="W30" s="261" t="s">
        <v>106</v>
      </c>
      <c r="X30" s="269" t="s">
        <v>121</v>
      </c>
      <c r="Y30" s="261" t="s">
        <v>97</v>
      </c>
      <c r="Z30" s="262" t="s">
        <v>68</v>
      </c>
      <c r="AA30" s="262" t="s">
        <v>801</v>
      </c>
      <c r="AB30" s="262" t="s">
        <v>123</v>
      </c>
      <c r="AC30" s="273">
        <v>45726</v>
      </c>
      <c r="AD30" s="273">
        <v>45869</v>
      </c>
      <c r="AE30" s="262" t="s">
        <v>71</v>
      </c>
      <c r="AF30" s="262"/>
      <c r="AG30" s="262"/>
      <c r="AH30" s="262"/>
      <c r="AI30" s="262"/>
      <c r="AJ30" s="262"/>
      <c r="AK30" s="262"/>
      <c r="AL30" s="262"/>
      <c r="AM30" s="262"/>
      <c r="AN30" s="262"/>
      <c r="AO30" s="262"/>
      <c r="AP30" s="262"/>
      <c r="AQ30" s="262"/>
    </row>
    <row r="31" spans="1:43" ht="49.5" x14ac:dyDescent="0.25">
      <c r="A31" s="259">
        <f t="shared" si="0"/>
        <v>26</v>
      </c>
      <c r="B31" s="260" t="s">
        <v>112</v>
      </c>
      <c r="C31" s="261" t="s">
        <v>113</v>
      </c>
      <c r="D31" s="261" t="s">
        <v>124</v>
      </c>
      <c r="E31" s="262" t="s">
        <v>115</v>
      </c>
      <c r="F31" s="262" t="s">
        <v>125</v>
      </c>
      <c r="G31" s="263" t="s">
        <v>91</v>
      </c>
      <c r="H31" s="262" t="s">
        <v>54</v>
      </c>
      <c r="I31" s="262" t="s">
        <v>92</v>
      </c>
      <c r="J31" s="262" t="s">
        <v>126</v>
      </c>
      <c r="K31" s="264" t="str">
        <f>+CONCATENATE(R_S_Digital[[#This Row],[Riesgo seguridad]], " debido a factores externos como: ",R_S_Digital[[#This Row],[Amenaza]])</f>
        <v>pérdida de disponibilidad debido a factores externos como: Vandalismo</v>
      </c>
      <c r="L31" s="265">
        <v>1920</v>
      </c>
      <c r="M31" s="266" t="s">
        <v>81</v>
      </c>
      <c r="N31" s="267" t="s">
        <v>58</v>
      </c>
      <c r="O31" s="265" t="s">
        <v>120</v>
      </c>
      <c r="P31" s="261" t="s">
        <v>60</v>
      </c>
      <c r="Q31" s="269" t="s">
        <v>121</v>
      </c>
      <c r="R31" s="261" t="s">
        <v>67</v>
      </c>
      <c r="S31" s="270" t="s">
        <v>799</v>
      </c>
      <c r="T31" s="271" t="s">
        <v>96</v>
      </c>
      <c r="U31" s="270" t="s">
        <v>64</v>
      </c>
      <c r="V31" s="270" t="s">
        <v>65</v>
      </c>
      <c r="W31" s="261" t="s">
        <v>127</v>
      </c>
      <c r="X31" s="269" t="s">
        <v>121</v>
      </c>
      <c r="Y31" s="261" t="s">
        <v>67</v>
      </c>
      <c r="Z31" s="262" t="s">
        <v>68</v>
      </c>
      <c r="AA31" s="262" t="s">
        <v>98</v>
      </c>
      <c r="AB31" s="262" t="s">
        <v>793</v>
      </c>
      <c r="AC31" s="273">
        <v>45726</v>
      </c>
      <c r="AD31" s="273">
        <v>45869</v>
      </c>
      <c r="AE31" s="262" t="s">
        <v>71</v>
      </c>
      <c r="AF31" s="262"/>
      <c r="AG31" s="262"/>
      <c r="AH31" s="262"/>
      <c r="AI31" s="262"/>
      <c r="AJ31" s="262"/>
      <c r="AK31" s="262"/>
      <c r="AL31" s="262"/>
      <c r="AM31" s="262"/>
      <c r="AN31" s="262"/>
      <c r="AO31" s="262"/>
      <c r="AP31" s="262"/>
      <c r="AQ31" s="262"/>
    </row>
    <row r="32" spans="1:43" ht="49.5" x14ac:dyDescent="0.25">
      <c r="A32" s="259">
        <f t="shared" si="0"/>
        <v>27</v>
      </c>
      <c r="B32" s="260" t="s">
        <v>112</v>
      </c>
      <c r="C32" s="261" t="s">
        <v>113</v>
      </c>
      <c r="D32" s="261" t="s">
        <v>128</v>
      </c>
      <c r="E32" s="262" t="s">
        <v>89</v>
      </c>
      <c r="F32" s="262" t="s">
        <v>129</v>
      </c>
      <c r="G32" s="263" t="s">
        <v>91</v>
      </c>
      <c r="H32" s="262" t="s">
        <v>54</v>
      </c>
      <c r="I32" s="262" t="s">
        <v>92</v>
      </c>
      <c r="J32" s="262" t="s">
        <v>130</v>
      </c>
      <c r="K32" s="264" t="str">
        <f>+CONCATENATE(R_S_Digital[[#This Row],[Riesgo seguridad]], " debido a factores externos como: ",R_S_Digital[[#This Row],[Amenaza]])</f>
        <v>pérdida de disponibilidad debido a factores externos como: Vandalismo</v>
      </c>
      <c r="L32" s="265">
        <v>1920</v>
      </c>
      <c r="M32" s="266" t="s">
        <v>81</v>
      </c>
      <c r="N32" s="267" t="s">
        <v>58</v>
      </c>
      <c r="O32" s="265" t="s">
        <v>94</v>
      </c>
      <c r="P32" s="261" t="s">
        <v>60</v>
      </c>
      <c r="Q32" s="269" t="s">
        <v>95</v>
      </c>
      <c r="R32" s="261" t="s">
        <v>62</v>
      </c>
      <c r="S32" s="270" t="s">
        <v>799</v>
      </c>
      <c r="T32" s="271" t="s">
        <v>96</v>
      </c>
      <c r="U32" s="270" t="s">
        <v>64</v>
      </c>
      <c r="V32" s="270" t="s">
        <v>65</v>
      </c>
      <c r="W32" s="261" t="s">
        <v>106</v>
      </c>
      <c r="X32" s="269" t="s">
        <v>95</v>
      </c>
      <c r="Y32" s="261" t="s">
        <v>62</v>
      </c>
      <c r="Z32" s="262" t="s">
        <v>68</v>
      </c>
      <c r="AA32" s="262" t="s">
        <v>98</v>
      </c>
      <c r="AB32" s="262" t="s">
        <v>793</v>
      </c>
      <c r="AC32" s="273">
        <v>45726</v>
      </c>
      <c r="AD32" s="273">
        <v>45869</v>
      </c>
      <c r="AE32" s="262" t="s">
        <v>71</v>
      </c>
      <c r="AF32" s="262"/>
      <c r="AG32" s="262"/>
      <c r="AH32" s="262"/>
      <c r="AI32" s="262"/>
      <c r="AJ32" s="262"/>
      <c r="AK32" s="262"/>
      <c r="AL32" s="262"/>
      <c r="AM32" s="262"/>
      <c r="AN32" s="262"/>
      <c r="AO32" s="262"/>
      <c r="AP32" s="262"/>
      <c r="AQ32" s="262"/>
    </row>
    <row r="33" spans="1:43" ht="200.25" customHeight="1" x14ac:dyDescent="0.25">
      <c r="A33" s="259">
        <f t="shared" si="0"/>
        <v>28</v>
      </c>
      <c r="B33" s="260" t="s">
        <v>48</v>
      </c>
      <c r="C33" s="261" t="s">
        <v>49</v>
      </c>
      <c r="D33" s="261" t="s">
        <v>50</v>
      </c>
      <c r="E33" s="262" t="s">
        <v>51</v>
      </c>
      <c r="F33" s="262" t="s">
        <v>52</v>
      </c>
      <c r="G33" s="263" t="s">
        <v>53</v>
      </c>
      <c r="H33" s="262" t="s">
        <v>54</v>
      </c>
      <c r="I33" s="262" t="s">
        <v>55</v>
      </c>
      <c r="J33" s="262" t="s">
        <v>56</v>
      </c>
      <c r="K33" s="264" t="str">
        <f>+CONCATENATE(R_S_Digital[[#This Row],[Riesgo seguridad]], " debido a factores externos como: ",R_S_Digital[[#This Row],[Amenaza]])</f>
        <v>pérdida de disponibilidad debido a factores externos como: situaciones administrativas o muerte.</v>
      </c>
      <c r="L33" s="265">
        <v>5000</v>
      </c>
      <c r="M33" s="266" t="s">
        <v>57</v>
      </c>
      <c r="N33" s="267" t="s">
        <v>58</v>
      </c>
      <c r="O33" s="265" t="s">
        <v>59</v>
      </c>
      <c r="P33" s="261" t="s">
        <v>60</v>
      </c>
      <c r="Q33" s="269" t="s">
        <v>61</v>
      </c>
      <c r="R33" s="261" t="s">
        <v>62</v>
      </c>
      <c r="S33" s="270" t="s">
        <v>810</v>
      </c>
      <c r="T33" s="271" t="s">
        <v>63</v>
      </c>
      <c r="U33" s="270" t="s">
        <v>64</v>
      </c>
      <c r="V33" s="270" t="s">
        <v>65</v>
      </c>
      <c r="W33" s="261" t="s">
        <v>60</v>
      </c>
      <c r="X33" s="269" t="s">
        <v>66</v>
      </c>
      <c r="Y33" s="261" t="s">
        <v>67</v>
      </c>
      <c r="Z33" s="262" t="s">
        <v>68</v>
      </c>
      <c r="AA33" s="262" t="s">
        <v>69</v>
      </c>
      <c r="AB33" s="262" t="s">
        <v>70</v>
      </c>
      <c r="AC33" s="273">
        <v>45726</v>
      </c>
      <c r="AD33" s="273">
        <v>45869</v>
      </c>
      <c r="AE33" s="262" t="s">
        <v>71</v>
      </c>
      <c r="AF33" s="262"/>
      <c r="AG33" s="262"/>
      <c r="AH33" s="262"/>
      <c r="AI33" s="262"/>
      <c r="AJ33" s="262"/>
      <c r="AK33" s="262"/>
      <c r="AL33" s="262"/>
      <c r="AM33" s="262"/>
      <c r="AN33" s="262"/>
      <c r="AO33" s="262"/>
      <c r="AP33" s="262"/>
      <c r="AQ33" s="262"/>
    </row>
    <row r="34" spans="1:43" ht="166.5" customHeight="1" x14ac:dyDescent="0.25">
      <c r="A34" s="259">
        <f t="shared" si="0"/>
        <v>29</v>
      </c>
      <c r="B34" s="274" t="s">
        <v>215</v>
      </c>
      <c r="C34" s="261" t="s">
        <v>286</v>
      </c>
      <c r="D34" s="275" t="s">
        <v>287</v>
      </c>
      <c r="E34" s="262" t="s">
        <v>89</v>
      </c>
      <c r="F34" s="262" t="s">
        <v>288</v>
      </c>
      <c r="G34" s="263" t="s">
        <v>289</v>
      </c>
      <c r="H34" s="262" t="s">
        <v>54</v>
      </c>
      <c r="I34" s="262" t="s">
        <v>290</v>
      </c>
      <c r="J34" s="262" t="s">
        <v>291</v>
      </c>
      <c r="K34" s="264" t="str">
        <f>+CONCATENATE(R_S_Digital[[#This Row],[Riesgo seguridad]], " debido a factores externos como: ",R_S_Digital[[#This Row],[Amenaza]])</f>
        <v>pérdida de disponibilidad debido a factores externos como: Eliminación de la información que se tiene custodiada en el software</v>
      </c>
      <c r="L34" s="265">
        <v>500</v>
      </c>
      <c r="M34" s="266" t="s">
        <v>292</v>
      </c>
      <c r="N34" s="267" t="s">
        <v>58</v>
      </c>
      <c r="O34" s="265" t="s">
        <v>59</v>
      </c>
      <c r="P34" s="261" t="s">
        <v>127</v>
      </c>
      <c r="Q34" s="269" t="s">
        <v>61</v>
      </c>
      <c r="R34" s="261" t="s">
        <v>97</v>
      </c>
      <c r="S34" s="270" t="s">
        <v>293</v>
      </c>
      <c r="T34" s="271" t="s">
        <v>294</v>
      </c>
      <c r="U34" s="270" t="s">
        <v>64</v>
      </c>
      <c r="V34" s="270" t="s">
        <v>65</v>
      </c>
      <c r="W34" s="261" t="s">
        <v>127</v>
      </c>
      <c r="X34" s="269" t="s">
        <v>84</v>
      </c>
      <c r="Y34" s="261" t="s">
        <v>67</v>
      </c>
      <c r="Z34" s="262" t="s">
        <v>68</v>
      </c>
      <c r="AA34" s="262" t="s">
        <v>295</v>
      </c>
      <c r="AB34" s="262" t="s">
        <v>822</v>
      </c>
      <c r="AC34" s="273">
        <v>45726</v>
      </c>
      <c r="AD34" s="273">
        <v>45869</v>
      </c>
      <c r="AE34" s="262" t="s">
        <v>71</v>
      </c>
      <c r="AF34" s="262"/>
      <c r="AG34" s="262"/>
      <c r="AH34" s="262"/>
      <c r="AI34" s="262"/>
      <c r="AJ34" s="262"/>
      <c r="AK34" s="262"/>
      <c r="AL34" s="262"/>
      <c r="AM34" s="262"/>
      <c r="AN34" s="262"/>
      <c r="AO34" s="262"/>
      <c r="AP34" s="262"/>
      <c r="AQ34" s="262"/>
    </row>
    <row r="35" spans="1:43" ht="120" customHeight="1" x14ac:dyDescent="0.25">
      <c r="A35" s="259">
        <f t="shared" si="0"/>
        <v>30</v>
      </c>
      <c r="B35" s="260" t="s">
        <v>215</v>
      </c>
      <c r="C35" s="261" t="s">
        <v>216</v>
      </c>
      <c r="D35" s="275" t="s">
        <v>217</v>
      </c>
      <c r="E35" s="272" t="s">
        <v>115</v>
      </c>
      <c r="F35" s="262" t="s">
        <v>218</v>
      </c>
      <c r="G35" s="263" t="s">
        <v>91</v>
      </c>
      <c r="H35" s="262" t="s">
        <v>54</v>
      </c>
      <c r="I35" s="262" t="s">
        <v>219</v>
      </c>
      <c r="J35" s="262" t="s">
        <v>220</v>
      </c>
      <c r="K35" s="264" t="str">
        <f>+CONCATENATE(R_S_Digital[[#This Row],[Riesgo seguridad]], " debido a factores externos como: ",R_S_Digital[[#This Row],[Amenaza]])</f>
        <v>pérdida de disponibilidad debido a factores externos como: Desgaste por uso / Obsolescencia</v>
      </c>
      <c r="L35" s="265">
        <v>8760</v>
      </c>
      <c r="M35" s="266" t="s">
        <v>221</v>
      </c>
      <c r="N35" s="267" t="s">
        <v>58</v>
      </c>
      <c r="O35" s="265" t="s">
        <v>94</v>
      </c>
      <c r="P35" s="261" t="s">
        <v>106</v>
      </c>
      <c r="Q35" s="269" t="s">
        <v>95</v>
      </c>
      <c r="R35" s="261" t="s">
        <v>62</v>
      </c>
      <c r="S35" s="270" t="s">
        <v>811</v>
      </c>
      <c r="T35" s="271" t="s">
        <v>222</v>
      </c>
      <c r="U35" s="270" t="s">
        <v>64</v>
      </c>
      <c r="V35" s="270" t="s">
        <v>65</v>
      </c>
      <c r="W35" s="261" t="s">
        <v>106</v>
      </c>
      <c r="X35" s="269" t="s">
        <v>61</v>
      </c>
      <c r="Y35" s="261" t="s">
        <v>97</v>
      </c>
      <c r="Z35" s="262" t="s">
        <v>68</v>
      </c>
      <c r="AA35" s="262" t="s">
        <v>223</v>
      </c>
      <c r="AB35" s="262" t="s">
        <v>793</v>
      </c>
      <c r="AC35" s="273">
        <v>45726</v>
      </c>
      <c r="AD35" s="273">
        <v>45869</v>
      </c>
      <c r="AE35" s="262" t="s">
        <v>71</v>
      </c>
      <c r="AF35" s="262"/>
      <c r="AG35" s="262"/>
      <c r="AH35" s="262"/>
      <c r="AI35" s="262"/>
      <c r="AJ35" s="262"/>
      <c r="AK35" s="262"/>
      <c r="AL35" s="262"/>
      <c r="AM35" s="262"/>
      <c r="AN35" s="262"/>
      <c r="AO35" s="262"/>
      <c r="AP35" s="262"/>
      <c r="AQ35" s="262"/>
    </row>
    <row r="36" spans="1:43" ht="49.5" x14ac:dyDescent="0.25">
      <c r="A36" s="259">
        <f t="shared" si="0"/>
        <v>31</v>
      </c>
      <c r="B36" s="260" t="s">
        <v>215</v>
      </c>
      <c r="C36" s="261" t="s">
        <v>216</v>
      </c>
      <c r="D36" s="275" t="s">
        <v>224</v>
      </c>
      <c r="E36" s="262" t="s">
        <v>115</v>
      </c>
      <c r="F36" s="262" t="s">
        <v>225</v>
      </c>
      <c r="G36" s="263" t="s">
        <v>91</v>
      </c>
      <c r="H36" s="262" t="s">
        <v>54</v>
      </c>
      <c r="I36" s="262" t="s">
        <v>219</v>
      </c>
      <c r="J36" s="262" t="s">
        <v>220</v>
      </c>
      <c r="K36" s="264" t="str">
        <f>+CONCATENATE(R_S_Digital[[#This Row],[Riesgo seguridad]], " debido a factores externos como: ",R_S_Digital[[#This Row],[Amenaza]])</f>
        <v>pérdida de disponibilidad debido a factores externos como: Desgaste por uso / Obsolescencia</v>
      </c>
      <c r="L36" s="265">
        <v>8760</v>
      </c>
      <c r="M36" s="266" t="s">
        <v>81</v>
      </c>
      <c r="N36" s="267" t="s">
        <v>58</v>
      </c>
      <c r="O36" s="265" t="s">
        <v>94</v>
      </c>
      <c r="P36" s="261" t="s">
        <v>106</v>
      </c>
      <c r="Q36" s="269" t="s">
        <v>95</v>
      </c>
      <c r="R36" s="261" t="s">
        <v>62</v>
      </c>
      <c r="S36" s="270" t="s">
        <v>799</v>
      </c>
      <c r="T36" s="271" t="s">
        <v>226</v>
      </c>
      <c r="U36" s="270" t="s">
        <v>64</v>
      </c>
      <c r="V36" s="270" t="s">
        <v>65</v>
      </c>
      <c r="W36" s="261" t="s">
        <v>106</v>
      </c>
      <c r="X36" s="269" t="s">
        <v>95</v>
      </c>
      <c r="Y36" s="261" t="s">
        <v>62</v>
      </c>
      <c r="Z36" s="262" t="s">
        <v>68</v>
      </c>
      <c r="AA36" s="262" t="s">
        <v>227</v>
      </c>
      <c r="AB36" s="262" t="s">
        <v>793</v>
      </c>
      <c r="AC36" s="273">
        <v>45726</v>
      </c>
      <c r="AD36" s="273">
        <v>45869</v>
      </c>
      <c r="AE36" s="262" t="s">
        <v>71</v>
      </c>
      <c r="AF36" s="262"/>
      <c r="AG36" s="262"/>
      <c r="AH36" s="262"/>
      <c r="AI36" s="262"/>
      <c r="AJ36" s="262"/>
      <c r="AK36" s="262"/>
      <c r="AL36" s="262"/>
      <c r="AM36" s="262"/>
      <c r="AN36" s="262"/>
      <c r="AO36" s="262"/>
      <c r="AP36" s="262"/>
      <c r="AQ36" s="262"/>
    </row>
    <row r="37" spans="1:43" ht="111" customHeight="1" x14ac:dyDescent="0.25">
      <c r="A37" s="259">
        <f t="shared" si="0"/>
        <v>32</v>
      </c>
      <c r="B37" s="260" t="s">
        <v>215</v>
      </c>
      <c r="C37" s="261" t="s">
        <v>216</v>
      </c>
      <c r="D37" s="275" t="s">
        <v>228</v>
      </c>
      <c r="E37" s="262" t="s">
        <v>75</v>
      </c>
      <c r="F37" s="262" t="s">
        <v>229</v>
      </c>
      <c r="G37" s="263" t="s">
        <v>91</v>
      </c>
      <c r="H37" s="262" t="s">
        <v>54</v>
      </c>
      <c r="I37" s="262" t="s">
        <v>219</v>
      </c>
      <c r="J37" s="262" t="s">
        <v>220</v>
      </c>
      <c r="K37" s="264" t="str">
        <f>+CONCATENATE(R_S_Digital[[#This Row],[Riesgo seguridad]], " debido a factores externos como: ",R_S_Digital[[#This Row],[Amenaza]])</f>
        <v>pérdida de disponibilidad debido a factores externos como: Desgaste por uso / Obsolescencia</v>
      </c>
      <c r="L37" s="265">
        <v>5000</v>
      </c>
      <c r="M37" s="266" t="s">
        <v>230</v>
      </c>
      <c r="N37" s="267" t="s">
        <v>58</v>
      </c>
      <c r="O37" s="265" t="s">
        <v>59</v>
      </c>
      <c r="P37" s="261" t="s">
        <v>60</v>
      </c>
      <c r="Q37" s="269" t="s">
        <v>61</v>
      </c>
      <c r="R37" s="261" t="s">
        <v>97</v>
      </c>
      <c r="S37" s="270" t="s">
        <v>811</v>
      </c>
      <c r="T37" s="271" t="s">
        <v>231</v>
      </c>
      <c r="U37" s="270" t="s">
        <v>64</v>
      </c>
      <c r="V37" s="270" t="s">
        <v>65</v>
      </c>
      <c r="W37" s="261" t="s">
        <v>60</v>
      </c>
      <c r="X37" s="269" t="s">
        <v>84</v>
      </c>
      <c r="Y37" s="261" t="s">
        <v>97</v>
      </c>
      <c r="Z37" s="262" t="s">
        <v>68</v>
      </c>
      <c r="AA37" s="262" t="s">
        <v>232</v>
      </c>
      <c r="AB37" s="262" t="s">
        <v>793</v>
      </c>
      <c r="AC37" s="273">
        <v>45726</v>
      </c>
      <c r="AD37" s="273">
        <v>45869</v>
      </c>
      <c r="AE37" s="262" t="s">
        <v>71</v>
      </c>
      <c r="AF37" s="262"/>
      <c r="AG37" s="262"/>
      <c r="AH37" s="262"/>
      <c r="AI37" s="262"/>
      <c r="AJ37" s="262"/>
      <c r="AK37" s="262"/>
      <c r="AL37" s="262"/>
      <c r="AM37" s="262"/>
      <c r="AN37" s="262"/>
      <c r="AO37" s="262"/>
      <c r="AP37" s="262"/>
      <c r="AQ37" s="262"/>
    </row>
    <row r="38" spans="1:43" ht="49.5" x14ac:dyDescent="0.25">
      <c r="A38" s="259">
        <f t="shared" si="0"/>
        <v>33</v>
      </c>
      <c r="B38" s="260" t="s">
        <v>215</v>
      </c>
      <c r="C38" s="261" t="s">
        <v>216</v>
      </c>
      <c r="D38" s="275" t="s">
        <v>233</v>
      </c>
      <c r="E38" s="262" t="s">
        <v>75</v>
      </c>
      <c r="F38" s="262" t="s">
        <v>234</v>
      </c>
      <c r="G38" s="263" t="s">
        <v>91</v>
      </c>
      <c r="H38" s="262" t="s">
        <v>54</v>
      </c>
      <c r="I38" s="262" t="s">
        <v>92</v>
      </c>
      <c r="J38" s="262" t="s">
        <v>235</v>
      </c>
      <c r="K38" s="264" t="str">
        <f>+CONCATENATE(R_S_Digital[[#This Row],[Riesgo seguridad]], " debido a factores externos como: ",R_S_Digital[[#This Row],[Amenaza]])</f>
        <v>pérdida de disponibilidad debido a factores externos como: Vandalismo</v>
      </c>
      <c r="L38" s="265">
        <v>5000</v>
      </c>
      <c r="M38" s="266" t="s">
        <v>236</v>
      </c>
      <c r="N38" s="267" t="s">
        <v>58</v>
      </c>
      <c r="O38" s="265" t="s">
        <v>94</v>
      </c>
      <c r="P38" s="261" t="s">
        <v>60</v>
      </c>
      <c r="Q38" s="269" t="s">
        <v>95</v>
      </c>
      <c r="R38" s="261" t="s">
        <v>62</v>
      </c>
      <c r="S38" s="270" t="s">
        <v>812</v>
      </c>
      <c r="T38" s="271" t="s">
        <v>237</v>
      </c>
      <c r="U38" s="270" t="s">
        <v>64</v>
      </c>
      <c r="V38" s="270" t="s">
        <v>2</v>
      </c>
      <c r="W38" s="261" t="s">
        <v>60</v>
      </c>
      <c r="X38" s="269" t="s">
        <v>61</v>
      </c>
      <c r="Y38" s="261" t="s">
        <v>97</v>
      </c>
      <c r="Z38" s="262" t="s">
        <v>238</v>
      </c>
      <c r="AA38" s="262" t="s">
        <v>239</v>
      </c>
      <c r="AB38" s="262" t="s">
        <v>793</v>
      </c>
      <c r="AC38" s="273">
        <v>45726</v>
      </c>
      <c r="AD38" s="273">
        <v>45869</v>
      </c>
      <c r="AE38" s="262" t="s">
        <v>71</v>
      </c>
      <c r="AF38" s="262"/>
      <c r="AG38" s="262"/>
      <c r="AH38" s="262"/>
      <c r="AI38" s="262"/>
      <c r="AJ38" s="262"/>
      <c r="AK38" s="262"/>
      <c r="AL38" s="262"/>
      <c r="AM38" s="262"/>
      <c r="AN38" s="262"/>
      <c r="AO38" s="262"/>
      <c r="AP38" s="262"/>
      <c r="AQ38" s="262"/>
    </row>
    <row r="39" spans="1:43" ht="66" x14ac:dyDescent="0.25">
      <c r="A39" s="259">
        <f t="shared" si="0"/>
        <v>34</v>
      </c>
      <c r="B39" s="260" t="s">
        <v>215</v>
      </c>
      <c r="C39" s="261" t="s">
        <v>216</v>
      </c>
      <c r="D39" s="275" t="s">
        <v>240</v>
      </c>
      <c r="E39" s="262" t="s">
        <v>75</v>
      </c>
      <c r="F39" s="262" t="s">
        <v>241</v>
      </c>
      <c r="G39" s="263" t="s">
        <v>91</v>
      </c>
      <c r="H39" s="262" t="s">
        <v>54</v>
      </c>
      <c r="I39" s="262" t="s">
        <v>92</v>
      </c>
      <c r="J39" s="262" t="s">
        <v>143</v>
      </c>
      <c r="K39" s="264" t="str">
        <f>+CONCATENATE(R_S_Digital[[#This Row],[Riesgo seguridad]], " debido a factores externos como: ",R_S_Digital[[#This Row],[Amenaza]])</f>
        <v>pérdida de disponibilidad debido a factores externos como: Vandalismo</v>
      </c>
      <c r="L39" s="265">
        <v>8760</v>
      </c>
      <c r="M39" s="266" t="s">
        <v>230</v>
      </c>
      <c r="N39" s="267" t="s">
        <v>102</v>
      </c>
      <c r="O39" s="265" t="s">
        <v>138</v>
      </c>
      <c r="P39" s="261" t="s">
        <v>106</v>
      </c>
      <c r="Q39" s="269" t="s">
        <v>95</v>
      </c>
      <c r="R39" s="261" t="s">
        <v>62</v>
      </c>
      <c r="S39" s="270" t="s">
        <v>813</v>
      </c>
      <c r="T39" s="271" t="s">
        <v>242</v>
      </c>
      <c r="U39" s="270" t="s">
        <v>64</v>
      </c>
      <c r="V39" s="270" t="s">
        <v>2</v>
      </c>
      <c r="W39" s="261" t="s">
        <v>106</v>
      </c>
      <c r="X39" s="269" t="s">
        <v>61</v>
      </c>
      <c r="Y39" s="261" t="s">
        <v>62</v>
      </c>
      <c r="Z39" s="262" t="s">
        <v>68</v>
      </c>
      <c r="AA39" s="262" t="s">
        <v>243</v>
      </c>
      <c r="AB39" s="262" t="s">
        <v>793</v>
      </c>
      <c r="AC39" s="273">
        <v>45726</v>
      </c>
      <c r="AD39" s="273">
        <v>45869</v>
      </c>
      <c r="AE39" s="262" t="s">
        <v>71</v>
      </c>
      <c r="AF39" s="262"/>
      <c r="AG39" s="262"/>
      <c r="AH39" s="262"/>
      <c r="AI39" s="262"/>
      <c r="AJ39" s="262"/>
      <c r="AK39" s="262"/>
      <c r="AL39" s="262"/>
      <c r="AM39" s="262"/>
      <c r="AN39" s="262"/>
      <c r="AO39" s="262"/>
      <c r="AP39" s="262"/>
      <c r="AQ39" s="262"/>
    </row>
    <row r="40" spans="1:43" ht="359.25" customHeight="1" x14ac:dyDescent="0.25">
      <c r="A40" s="259">
        <f t="shared" si="0"/>
        <v>35</v>
      </c>
      <c r="B40" s="260" t="s">
        <v>131</v>
      </c>
      <c r="C40" s="261" t="s">
        <v>132</v>
      </c>
      <c r="D40" s="261" t="s">
        <v>133</v>
      </c>
      <c r="E40" s="262" t="s">
        <v>75</v>
      </c>
      <c r="F40" s="262" t="s">
        <v>134</v>
      </c>
      <c r="G40" s="263" t="s">
        <v>53</v>
      </c>
      <c r="H40" s="262" t="s">
        <v>78</v>
      </c>
      <c r="I40" s="262" t="s">
        <v>135</v>
      </c>
      <c r="J40" s="262" t="s">
        <v>136</v>
      </c>
      <c r="K40" s="264" t="str">
        <f>+CONCATENATE(R_S_Digital[[#This Row],[Riesgo seguridad]], " debido a factores externos como: ",R_S_Digital[[#This Row],[Amenaza]])</f>
        <v>pérdida de confidencialidad debido a factores externos como: Personal Externo al ICC</v>
      </c>
      <c r="L40" s="265">
        <v>6</v>
      </c>
      <c r="M40" s="266" t="s">
        <v>137</v>
      </c>
      <c r="N40" s="267" t="s">
        <v>102</v>
      </c>
      <c r="O40" s="265" t="s">
        <v>138</v>
      </c>
      <c r="P40" s="261" t="s">
        <v>83</v>
      </c>
      <c r="Q40" s="269" t="s">
        <v>95</v>
      </c>
      <c r="R40" s="261" t="s">
        <v>62</v>
      </c>
      <c r="S40" s="270" t="s">
        <v>814</v>
      </c>
      <c r="T40" s="271" t="s">
        <v>139</v>
      </c>
      <c r="U40" s="270" t="s">
        <v>64</v>
      </c>
      <c r="V40" s="270" t="s">
        <v>65</v>
      </c>
      <c r="W40" s="261" t="s">
        <v>83</v>
      </c>
      <c r="X40" s="269" t="s">
        <v>95</v>
      </c>
      <c r="Y40" s="261" t="s">
        <v>62</v>
      </c>
      <c r="Z40" s="262" t="s">
        <v>68</v>
      </c>
      <c r="AA40" s="262" t="s">
        <v>140</v>
      </c>
      <c r="AB40" s="262" t="s">
        <v>821</v>
      </c>
      <c r="AC40" s="273">
        <v>45726</v>
      </c>
      <c r="AD40" s="273">
        <v>45869</v>
      </c>
      <c r="AE40" s="262" t="s">
        <v>71</v>
      </c>
      <c r="AF40" s="262"/>
      <c r="AG40" s="262"/>
      <c r="AH40" s="262"/>
      <c r="AI40" s="262"/>
      <c r="AJ40" s="262"/>
      <c r="AK40" s="262"/>
      <c r="AL40" s="262"/>
      <c r="AM40" s="262"/>
      <c r="AN40" s="262"/>
      <c r="AO40" s="262"/>
      <c r="AP40" s="262"/>
      <c r="AQ40" s="262"/>
    </row>
    <row r="41" spans="1:43" ht="49.5" x14ac:dyDescent="0.25">
      <c r="A41" s="259">
        <f t="shared" si="0"/>
        <v>36</v>
      </c>
      <c r="B41" s="260" t="s">
        <v>131</v>
      </c>
      <c r="C41" s="261" t="s">
        <v>132</v>
      </c>
      <c r="D41" s="261" t="s">
        <v>141</v>
      </c>
      <c r="E41" s="262" t="s">
        <v>75</v>
      </c>
      <c r="F41" s="262" t="s">
        <v>142</v>
      </c>
      <c r="G41" s="263" t="s">
        <v>91</v>
      </c>
      <c r="H41" s="262" t="s">
        <v>54</v>
      </c>
      <c r="I41" s="262" t="s">
        <v>92</v>
      </c>
      <c r="J41" s="262" t="s">
        <v>143</v>
      </c>
      <c r="K41" s="264" t="str">
        <f>+CONCATENATE(R_S_Digital[[#This Row],[Riesgo seguridad]], " debido a factores externos como: ",R_S_Digital[[#This Row],[Amenaza]])</f>
        <v>pérdida de disponibilidad debido a factores externos como: Vandalismo</v>
      </c>
      <c r="L41" s="265"/>
      <c r="M41" s="266" t="s">
        <v>144</v>
      </c>
      <c r="N41" s="267" t="s">
        <v>102</v>
      </c>
      <c r="O41" s="265"/>
      <c r="P41" s="261" t="s">
        <v>106</v>
      </c>
      <c r="Q41" s="269" t="s">
        <v>95</v>
      </c>
      <c r="R41" s="261" t="s">
        <v>62</v>
      </c>
      <c r="S41" s="261" t="s">
        <v>799</v>
      </c>
      <c r="T41" s="271" t="s">
        <v>96</v>
      </c>
      <c r="U41" s="270" t="s">
        <v>64</v>
      </c>
      <c r="V41" s="270" t="s">
        <v>65</v>
      </c>
      <c r="W41" s="261" t="s">
        <v>106</v>
      </c>
      <c r="X41" s="269" t="s">
        <v>95</v>
      </c>
      <c r="Y41" s="261" t="s">
        <v>62</v>
      </c>
      <c r="Z41" s="262" t="s">
        <v>68</v>
      </c>
      <c r="AA41" s="262" t="s">
        <v>98</v>
      </c>
      <c r="AB41" s="262" t="s">
        <v>821</v>
      </c>
      <c r="AC41" s="273">
        <v>45726</v>
      </c>
      <c r="AD41" s="273">
        <v>45869</v>
      </c>
      <c r="AE41" s="262" t="s">
        <v>71</v>
      </c>
      <c r="AF41" s="262"/>
      <c r="AG41" s="262"/>
      <c r="AH41" s="262"/>
      <c r="AI41" s="262"/>
      <c r="AJ41" s="262"/>
      <c r="AK41" s="262"/>
      <c r="AL41" s="262"/>
      <c r="AM41" s="262"/>
      <c r="AN41" s="262"/>
      <c r="AO41" s="262"/>
      <c r="AP41" s="262"/>
      <c r="AQ41" s="262"/>
    </row>
  </sheetData>
  <sheetProtection algorithmName="SHA-512" hashValue="yq6Evv8xeIDEKZWZgwb1gAH5/DyrKuJVR/ehpg4bkE+APM5m71l3mANNegdHxq5xLUNCLuPmcwtH88C9xWCViw==" saltValue="Zhg7KcPwHHHUFrtcQUvqrQ==" spinCount="100000" sheet="1" autoFilter="0"/>
  <dataConsolidate/>
  <mergeCells count="21">
    <mergeCell ref="A1:B1"/>
    <mergeCell ref="D1:I2"/>
    <mergeCell ref="A2:B2"/>
    <mergeCell ref="L4:O4"/>
    <mergeCell ref="A3:O3"/>
    <mergeCell ref="A4:K4"/>
    <mergeCell ref="AF3:AK3"/>
    <mergeCell ref="AF4:AI4"/>
    <mergeCell ref="AJ4:AK4"/>
    <mergeCell ref="AL3:AQ4"/>
    <mergeCell ref="K1:O2"/>
    <mergeCell ref="P1:R2"/>
    <mergeCell ref="W4:Y4"/>
    <mergeCell ref="W3:Y3"/>
    <mergeCell ref="P3:R3"/>
    <mergeCell ref="S1:Y2"/>
    <mergeCell ref="S4:T4"/>
    <mergeCell ref="U4:V4"/>
    <mergeCell ref="S3:V3"/>
    <mergeCell ref="Z3:AE3"/>
    <mergeCell ref="Z4:AE4"/>
  </mergeCells>
  <phoneticPr fontId="14" type="noConversion"/>
  <conditionalFormatting sqref="N6:N41">
    <cfRule type="cellIs" dxfId="16" priority="16" operator="equal">
      <formula>Pesos</formula>
    </cfRule>
    <cfRule type="cellIs" dxfId="15" priority="17" operator="equal">
      <formula>Imagen</formula>
    </cfRule>
  </conditionalFormatting>
  <dataValidations xWindow="300" yWindow="389" count="45">
    <dataValidation allowBlank="1" showInputMessage="1" showErrorMessage="1" promptTitle="Proceso" prompt="Seleccione del listado desplegable el proceso correspondiente según el modelo de operación por procesos vigente" sqref="B5:C5" xr:uid="{3D7FD733-5DA2-4F14-AEAC-41C775E2CB9A}"/>
    <dataValidation allowBlank="1" showInputMessage="1" showErrorMessage="1" promptTitle="Afectación" prompt="Se refiere a ¿qué tipo de afectació genera el riesgo si se mnaterializa?, según la política de riesgos puede ser: Reputacional o Económica. En caso de ser ambas se debe preferir la opción de mayor impacto según la escala definida" sqref="N5" xr:uid="{96283B56-1613-4E14-B112-CA9446359046}"/>
    <dataValidation allowBlank="1" showInputMessage="1" showErrorMessage="1" promptTitle="Impacto" prompt="Según la afectación definida (económica o reputacional), se depliega una lista dónde se debe seleccionar el monto o el nivel de afectación del riesgo respectivamente" sqref="O5" xr:uid="{FCE474B6-AD3A-451F-AB91-20EDC8D39496}"/>
    <dataValidation allowBlank="1" showInputMessage="1" showErrorMessage="1" promptTitle="Factor de riesgo" prompt="Son las fuentes generadoras de riesgo, se debe seleccionar un valor de la lista desplegable." sqref="G5" xr:uid="{8F97F099-F2E2-45C0-89F1-9506795509BC}"/>
    <dataValidation allowBlank="1" showInputMessage="1" showErrorMessage="1" promptTitle="Frecuencia" prompt="Se refiere a la cantidad de veces que se realiza la actividad que origina el riesgo en un año, por ejemplo: transferencias, registros, pagos, etc. Debe ser un valor númerico" sqref="L5" xr:uid="{47BFB191-B030-4930-9629-4EE4B9400BCF}"/>
    <dataValidation allowBlank="1" showInputMessage="1" showErrorMessage="1" promptTitle="Unidad de medida" prompt="Se refiere al entregable que resulta de realizar la actividad que origina el riesgo, por ejemplo: actas, consignaciones, facturas, etc." sqref="M5:O5" xr:uid="{A10BA15F-A03A-4BE4-82C4-950816724407}"/>
    <dataValidation allowBlank="1" showInputMessage="1" showErrorMessage="1" promptTitle="Código Riesgo" prompt="Es un valor alfanúmerico que asigna el administrador del SIG para el control de cambios de los riesgos, debe ser único." sqref="D5" xr:uid="{D7CAC9F9-DA55-4778-88B1-9C88AEB18CF0}"/>
    <dataValidation allowBlank="1" showInputMessage="1" showErrorMessage="1" promptTitle="Factor riesgo" prompt="Es un valor alfanúmerico que asigna el administrador del SIG para el control de cambios de los riesgos, debe ser único." sqref="G5" xr:uid="{BD74D579-1A31-4D33-873D-F0D5070E72D4}"/>
    <dataValidation allowBlank="1" showInputMessage="1" showErrorMessage="1" promptTitle="Consecutivo de riesgo" prompt="Es un consecutivo de seis en seis, que permite alinear los riesgos con los controles" sqref="A5" xr:uid="{8BB5D57B-5F7C-41AD-91BA-10D3D9E0E416}"/>
    <dataValidation allowBlank="1" showInputMessage="1" showErrorMessage="1" promptTitle="Probabilidad inherente" prompt="Es la probabilidad de que se materialice el riesgo sin tener en cuenta los controles existentes" sqref="P5" xr:uid="{7AC7534A-82C9-4357-8D9B-516546E85361}"/>
    <dataValidation allowBlank="1" showInputMessage="1" showErrorMessage="1" promptTitle="Impacto inherente" prompt="Es la medida del impacto de que se materialice el riesgo sin tener en cuenta los controles existentes" sqref="Q5" xr:uid="{63221DFE-9E5A-4140-8AAC-912CA33C63CF}"/>
    <dataValidation allowBlank="1" showInputMessage="1" showErrorMessage="1" promptTitle="Severidad inherente" prompt="Se refiere a la cualifiación que resulta de combinar la probabilidad con el impacto sin tener en cuenta los controles existentes" sqref="R5" xr:uid="{045C5D7F-526E-4290-9A01-2C091266FDBB}"/>
    <dataValidation allowBlank="1" showInputMessage="1" showErrorMessage="1" promptTitle="Probabilidad residual" prompt="Es la probabilidad de que se materialice un riesgo después de evaluados los controles." sqref="W5" xr:uid="{178C083A-830D-4D6B-B0CA-8F7F62731D92}"/>
    <dataValidation allowBlank="1" showInputMessage="1" showErrorMessage="1" promptTitle="Impacto residual" prompt="Es el impacto de que queda después de aplicar los controles existentes ante la materialización del riesgo" sqref="X5" xr:uid="{2935F22F-6554-4C4D-8CC9-378004640535}"/>
    <dataValidation allowBlank="1" showInputMessage="1" showErrorMessage="1" promptTitle="Severidad residual" prompt="Se refiere a la cualifiación que resulta de combinar la probabilidad con el impacto después de evaluar los controles existentes" sqref="Y5" xr:uid="{E61987DD-C0E5-472F-B26B-CF965948BABA}"/>
    <dataValidation allowBlank="1" showInputMessage="1" showErrorMessage="1" prompt="enero a junio /2021 fecha de corte" sqref="L35" xr:uid="{BA362716-8C99-4E3B-A681-8D992626DC6F}"/>
    <dataValidation allowBlank="1" showInputMessage="1" showErrorMessage="1" promptTitle="Tipo activo de información" prompt="Permite clasificar los activos de información, según la lista desplegable" sqref="E5" xr:uid="{140F7344-D3D6-44CF-934B-E006A7E40B04}"/>
    <dataValidation allowBlank="1" showInputMessage="1" showErrorMessage="1" promptTitle="Tipo de activo de información" prompt="Permite clasificar los activos de información mediente lista desplegable" sqref="E5" xr:uid="{DAB9C828-9ACE-4BD7-9989-CE6A92C2E4C4}"/>
    <dataValidation allowBlank="1" showInputMessage="1" showErrorMessage="1" promptTitle="Nombre activo de información" prompt="En esta columna se consigna la denominación del activo de información objeto de estudio" sqref="F5" xr:uid="{3E3AF491-A5F4-436C-B717-2B5994C2C869}"/>
    <dataValidation allowBlank="1" showInputMessage="1" showErrorMessage="1" promptTitle="Riesgo seguridad" prompt="El riesgo de seguridad digital se clasifica en tres tipos, según la pérdida: condifencialidad, integridad o disponibilidad" sqref="H5" xr:uid="{C3801D77-FC64-40D5-97CB-578D475F1AD2}"/>
    <dataValidation allowBlank="1" showInputMessage="1" showErrorMessage="1" promptTitle="Riesgo" prompt="El riesgo de seguridad digital se clasifica en tres tipos según la pérdida de: confidencialidad, integridad o disponibilidad" sqref="H5" xr:uid="{B006B4E4-7ACC-4C48-8105-D485EC21F675}"/>
    <dataValidation allowBlank="1" showInputMessage="1" showErrorMessage="1" promptTitle="Amenaza" prompt="Evento que conlleva consecuencias negativas para las operaciones, funciones, marca, reputación o imagen percibida del ICC_x000a_" sqref="I5" xr:uid="{E52CA796-6E15-4400-8614-E71E40A2AF35}"/>
    <dataValidation allowBlank="1" showInputMessage="1" showErrorMessage="1" promptTitle="Amenaza" prompt="Evento que conlleva consecuencias negativas para las operaciones, funciones, marca, reputación o imagen percibida del ICC" sqref="I5" xr:uid="{82B80BB0-D1A2-4DF3-8106-B03B08397B15}"/>
    <dataValidation allowBlank="1" showInputMessage="1" showErrorMessage="1" promptTitle="Descripción del riesgo" prompt="Es una columna que se diligencia automáticamente, a partir de la información consignada en las celdas precedentes" sqref="K5" xr:uid="{ED823737-7D4C-4E89-912E-F2B45F8919B9}"/>
    <dataValidation allowBlank="1" showInputMessage="1" showErrorMessage="1" promptTitle="Nombre del activo de información" prompt="Se debe seleccionar una opción de la lista desplegable." sqref="F5" xr:uid="{27B9F009-9CCA-4D75-BC31-9C78FF0AE815}"/>
    <dataValidation allowBlank="1" showInputMessage="1" showErrorMessage="1" promptTitle="Vulnerabilidades (causas)" prompt="Es el conjunto de motivos que potencializan las amenazas de seguridad de la información" sqref="J5" xr:uid="{3549AA66-3F3C-4187-A9B4-BFBF44278382}"/>
    <dataValidation allowBlank="1" showInputMessage="1" showErrorMessage="1" promptTitle="Acción de control" prompt="Corresponde a la descripción de la acción de control" sqref="T5" xr:uid="{EEE4D181-156E-4141-8FE1-613E4C514AAC}"/>
    <dataValidation allowBlank="1" showInputMessage="1" showErrorMessage="1" promptTitle="Responsable de ejecutar" prompt="Se refiere al cargo o rol responsable de realizar el control generando la respectiva evidencia" sqref="S5" xr:uid="{41EAD0AE-8C30-4471-9035-8ECF8A8AE3EB}"/>
    <dataValidation allowBlank="1" showInputMessage="1" showErrorMessage="1" promptTitle="Forma de ejecución" prompt="El control se puede ejecutar de dos maneras: automática (por un sistema) o manual (con la intervención humana)" sqref="V5" xr:uid="{ADBFA302-63C5-4EC9-A821-338A29BCA54D}"/>
    <dataValidation allowBlank="1" showInputMessage="1" showErrorMessage="1" promptTitle="Momento de ejecución" prompt="Permite identificar si el control es de tipo preventivo, detectivo o correctivo, según el momento donde se desarrolla, antes, durante o después de la materialización del evento de riesgo" sqref="U5" xr:uid="{6479014C-EA61-4A31-9374-EC3D5895FEFA}"/>
    <dataValidation allowBlank="1" showInputMessage="1" showErrorMessage="1" promptTitle="Actividad fortalecimiento" prompt="Describe del desarrollo de medidas para fortalecer los controles según la estrategia seleccionada y lo establecido en la política de administración del riesgo" sqref="AA5" xr:uid="{96C40359-37A4-4E11-84E4-DA3DE1310DD5}"/>
    <dataValidation allowBlank="1" showInputMessage="1" showErrorMessage="1" promptTitle="Responsable estrategia" prompt="Corresponde al cargo de la persona que se encargará de liderar la implementación de la actividad de fortalecimiento formulada" sqref="AB5" xr:uid="{D098F116-6044-4678-A22D-F6854C89855E}"/>
    <dataValidation allowBlank="1" showInputMessage="1" showErrorMessage="1" promptTitle="Fecha fin" prompt="Fecha en la cual se finalizará el desarrollo de la actividad para fortalecer el control" sqref="AD5:AE5" xr:uid="{F53A5127-977C-45B3-88AE-6FE2A2517B33}"/>
    <dataValidation allowBlank="1" showInputMessage="1" showErrorMessage="1" promptTitle="Fecha de inicio" prompt="Fecha en la cual se empieza el desarrollo de la actividad para fortalecer el control" sqref="AC5" xr:uid="{5B6BEF66-1E52-4959-80BB-4B596B91A23A}"/>
    <dataValidation allowBlank="1" showInputMessage="1" showErrorMessage="1" promptTitle="Tratamiento" prompt="Despliega un listado con las estrategias disponibles para reducir el riesgo, de acuerdo con lo definido en la política de administración del riesgo" sqref="Z5" xr:uid="{C4E84974-DF11-4871-B46D-54165596E4FE}"/>
    <dataValidation type="list" allowBlank="1" showInputMessage="1" showErrorMessage="1" sqref="W6:W41 P6:P41" xr:uid="{5C073365-EA32-4768-8988-4073E43C8FD0}">
      <formula1>P_Cualitativa</formula1>
    </dataValidation>
    <dataValidation type="list" allowBlank="1" showInputMessage="1" showErrorMessage="1" sqref="X6:X41 Q6:Q41" xr:uid="{F9B3F0B2-A100-4577-B28D-2CC8FA68E80F}">
      <formula1>I_Cualitativo</formula1>
    </dataValidation>
    <dataValidation type="list" allowBlank="1" showInputMessage="1" showErrorMessage="1" sqref="Z6:Z41" xr:uid="{465432FA-A92A-4DD7-98EC-D34BC1EF8A01}">
      <formula1>Tratamiento</formula1>
    </dataValidation>
    <dataValidation type="list" allowBlank="1" showInputMessage="1" showErrorMessage="1" sqref="B6:B41" xr:uid="{38AD499B-3546-4390-BEE6-BD7F49632E26}">
      <formula1>Procesos</formula1>
    </dataValidation>
    <dataValidation type="list" allowBlank="1" showInputMessage="1" showErrorMessage="1" sqref="E6:E41" xr:uid="{E659507C-EE1B-4A0B-BE64-4CCC7D7FC2BC}">
      <formula1>ActivoInformación</formula1>
    </dataValidation>
    <dataValidation type="list" allowBlank="1" showInputMessage="1" showErrorMessage="1" sqref="H6:H41" xr:uid="{1AA540AB-C945-46F8-836C-4F3AD67412E3}">
      <formula1>RiesgoSD</formula1>
    </dataValidation>
    <dataValidation type="list" allowBlank="1" showInputMessage="1" showErrorMessage="1" sqref="G6:G41" xr:uid="{3FAE2423-6DA1-4DD1-AC35-F2A2A3944105}">
      <formula1>Factor</formula1>
    </dataValidation>
    <dataValidation type="list" allowBlank="1" showInputMessage="1" showErrorMessage="1" sqref="N6:N41" xr:uid="{7E26C221-6EB5-43F4-84D0-1C707E00E5CF}">
      <formula1>"Operacional,Reputacional"</formula1>
    </dataValidation>
    <dataValidation type="list" allowBlank="1" showInputMessage="1" showErrorMessage="1" sqref="U6:U41" xr:uid="{4DE4892C-A68D-4BA7-916A-09530C630B2D}">
      <formula1>C_Momento</formula1>
    </dataValidation>
    <dataValidation type="list" allowBlank="1" showInputMessage="1" showErrorMessage="1" sqref="V6:V41" xr:uid="{0035AE64-5E0E-4F44-A043-19E965B521BB}">
      <formula1>C_Forma</formula1>
    </dataValidation>
  </dataValidations>
  <pageMargins left="0.7" right="0.7" top="0.75" bottom="0.75" header="0.3" footer="0.3"/>
  <pageSetup orientation="portrait" r:id="rId1"/>
  <ignoredErrors>
    <ignoredError sqref="A6:A41 R6:R7 R20:S20 R21:S21 R22:S22" calculatedColumn="1"/>
  </ignoredErrors>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1" operator="equal" id="{51111961-4E98-41D8-BA69-93D3D2E664EE}">
            <xm:f>Condiciones_RSD!$I$9</xm:f>
            <x14:dxf>
              <fill>
                <patternFill>
                  <bgColor rgb="FFFFCCCC"/>
                </patternFill>
              </fill>
            </x14:dxf>
          </x14:cfRule>
          <x14:cfRule type="cellIs" priority="12" operator="equal" id="{EE2B4859-8C17-4EEF-8851-CEB16DE38FB2}">
            <xm:f>Condiciones_RSD!$I$8</xm:f>
            <x14:dxf>
              <fill>
                <patternFill>
                  <bgColor theme="5" tint="0.59996337778862885"/>
                </patternFill>
              </fill>
            </x14:dxf>
          </x14:cfRule>
          <x14:cfRule type="cellIs" priority="13" operator="equal" id="{54A9B1C6-C08F-4A08-956A-FF6020B18D8F}">
            <xm:f>Condiciones_RSD!$I$7</xm:f>
            <x14:dxf>
              <fill>
                <patternFill>
                  <bgColor rgb="FFFFFFCC"/>
                </patternFill>
              </fill>
            </x14:dxf>
          </x14:cfRule>
          <x14:cfRule type="cellIs" priority="14" operator="equal" id="{D2D99061-5AD3-4D51-A144-4CA387528864}">
            <xm:f>Condiciones_RSD!$I$6</xm:f>
            <x14:dxf>
              <fill>
                <patternFill>
                  <bgColor theme="9" tint="0.79998168889431442"/>
                </patternFill>
              </fill>
            </x14:dxf>
          </x14:cfRule>
          <x14:cfRule type="cellIs" priority="15" operator="equal" id="{7FE99EB5-22F8-4C61-8ED3-3BB6A0B04F48}">
            <xm:f>Condiciones_RSD!$I$5</xm:f>
            <x14:dxf>
              <fill>
                <patternFill>
                  <bgColor theme="7" tint="0.79998168889431442"/>
                </patternFill>
              </fill>
            </x14:dxf>
          </x14:cfRule>
          <xm:sqref>P6:P41 W6:W41</xm:sqref>
        </x14:conditionalFormatting>
        <x14:conditionalFormatting xmlns:xm="http://schemas.microsoft.com/office/excel/2006/main">
          <x14:cfRule type="cellIs" priority="5" operator="equal" id="{5F02DBD1-BE60-4AA7-935C-8E70AF81C856}">
            <xm:f>Condiciones_RSD!$I$18</xm:f>
            <x14:dxf>
              <fill>
                <patternFill>
                  <bgColor rgb="FFFFCCCC"/>
                </patternFill>
              </fill>
            </x14:dxf>
          </x14:cfRule>
          <x14:cfRule type="cellIs" priority="6" operator="equal" id="{B0716902-0317-456D-B994-846B1868974B}">
            <xm:f>Condiciones_RSD!$I$17</xm:f>
            <x14:dxf>
              <fill>
                <patternFill>
                  <bgColor theme="5" tint="0.59996337778862885"/>
                </patternFill>
              </fill>
            </x14:dxf>
          </x14:cfRule>
          <x14:cfRule type="cellIs" priority="7" operator="equal" id="{4FFF4F43-22B6-4D46-98AE-4B38366CDC5D}">
            <xm:f>Condiciones_RSD!$I$16</xm:f>
            <x14:dxf>
              <fill>
                <patternFill>
                  <bgColor rgb="FFFFFFCC"/>
                </patternFill>
              </fill>
            </x14:dxf>
          </x14:cfRule>
          <x14:cfRule type="cellIs" priority="8" operator="equal" id="{FA760349-F4D4-4F18-9DAC-8B21597ACB21}">
            <xm:f>Condiciones_RSD!$I$15</xm:f>
            <x14:dxf>
              <fill>
                <patternFill>
                  <bgColor theme="9" tint="0.79998168889431442"/>
                </patternFill>
              </fill>
            </x14:dxf>
          </x14:cfRule>
          <x14:cfRule type="cellIs" priority="9" operator="equal" id="{14DDFACC-70AE-422C-89AC-792405451E21}">
            <xm:f>Condiciones_RSD!$I$14</xm:f>
            <x14:dxf>
              <fill>
                <patternFill>
                  <bgColor theme="7" tint="0.79998168889431442"/>
                </patternFill>
              </fill>
            </x14:dxf>
          </x14:cfRule>
          <xm:sqref>Q6:Q41 X6:X41</xm:sqref>
        </x14:conditionalFormatting>
        <x14:conditionalFormatting xmlns:xm="http://schemas.microsoft.com/office/excel/2006/main">
          <x14:cfRule type="cellIs" priority="1" operator="equal" id="{0FE76AFC-038D-4B2E-87D1-45A8974B5BBB}">
            <xm:f>Condiciones_RSD!$G$68</xm:f>
            <x14:dxf>
              <fill>
                <patternFill>
                  <bgColor rgb="FFFFCCCC"/>
                </patternFill>
              </fill>
            </x14:dxf>
          </x14:cfRule>
          <x14:cfRule type="cellIs" priority="2" operator="equal" id="{342232DE-A391-41CE-A937-D2500B7AFB0A}">
            <xm:f>Condiciones_RSD!$G$67</xm:f>
            <x14:dxf>
              <fill>
                <patternFill>
                  <bgColor theme="5" tint="0.59996337778862885"/>
                </patternFill>
              </fill>
            </x14:dxf>
          </x14:cfRule>
          <x14:cfRule type="cellIs" priority="3" operator="equal" id="{E62AAC99-09FB-40D4-A5D6-67AC5929E581}">
            <xm:f>Condiciones_RSD!$G$66</xm:f>
            <x14:dxf>
              <fill>
                <patternFill>
                  <bgColor rgb="FFFFFFCC"/>
                </patternFill>
              </fill>
            </x14:dxf>
          </x14:cfRule>
          <x14:cfRule type="cellIs" priority="4" operator="equal" id="{39EB89AA-878F-46A4-8A7C-7692E46F09A5}">
            <xm:f>Condiciones_RSD!$G$65</xm:f>
            <x14:dxf>
              <fill>
                <patternFill>
                  <bgColor theme="9" tint="0.79998168889431442"/>
                </patternFill>
              </fill>
            </x14:dxf>
          </x14:cfRule>
          <xm:sqref>R6:R41 Y6:Y41</xm:sqref>
        </x14:conditionalFormatting>
      </x14:conditionalFormattings>
    </ext>
    <ext xmlns:x14="http://schemas.microsoft.com/office/spreadsheetml/2009/9/main" uri="{CCE6A557-97BC-4b89-ADB6-D9C93CAAB3DF}">
      <x14:dataValidations xmlns:xm="http://schemas.microsoft.com/office/excel/2006/main" xWindow="300" yWindow="389" count="2">
        <x14:dataValidation type="list" allowBlank="1" showInputMessage="1" showErrorMessage="1" xr:uid="{FE39F102-BDDE-404B-B0B4-FA2B599229A3}">
          <x14:formula1>
            <xm:f>Condiciones_RSD!$S$29:$S$32</xm:f>
          </x14:formula1>
          <xm:sqref>Y6:Y41 R6:R41</xm:sqref>
        </x14:dataValidation>
        <x14:dataValidation type="list" allowBlank="1" showInputMessage="1" showErrorMessage="1" xr:uid="{CD9EB146-A788-4EF4-9734-4BDC6FAF6D28}">
          <x14:formula1>
            <xm:f>Condiciones_RSD!$L$72:$L$75</xm:f>
          </x14:formula1>
          <xm:sqref>AE6:AE41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66F8A-31D8-4F8A-B317-1E4D9651C168}">
  <sheetPr>
    <tabColor rgb="FF7030A0"/>
  </sheetPr>
  <dimension ref="A1:T353"/>
  <sheetViews>
    <sheetView topLeftCell="A56" zoomScale="85" zoomScaleNormal="85" workbookViewId="0">
      <selection activeCell="B63" sqref="B63"/>
    </sheetView>
  </sheetViews>
  <sheetFormatPr baseColWidth="10" defaultColWidth="10.85546875" defaultRowHeight="15" x14ac:dyDescent="0.25"/>
  <cols>
    <col min="1" max="1" width="8.28515625" style="79" customWidth="1"/>
    <col min="2" max="2" width="22.140625" style="79" customWidth="1"/>
    <col min="3" max="3" width="10.28515625" style="79" customWidth="1"/>
    <col min="4" max="4" width="9.42578125" style="79" customWidth="1"/>
    <col min="5" max="5" width="10.85546875" style="79"/>
    <col min="6" max="7" width="14.28515625" style="79" customWidth="1"/>
    <col min="8" max="8" width="15.42578125" style="79" customWidth="1"/>
    <col min="9" max="10" width="15.5703125" style="79" customWidth="1"/>
    <col min="11" max="11" width="18.28515625" style="79" customWidth="1"/>
    <col min="12" max="12" width="15" style="79" customWidth="1"/>
    <col min="13" max="13" width="16" style="79" customWidth="1"/>
    <col min="14" max="14" width="16.7109375" style="79" customWidth="1"/>
    <col min="15" max="19" width="15.140625" style="79" customWidth="1"/>
    <col min="20" max="20" width="19.140625" style="79" customWidth="1"/>
    <col min="21" max="26" width="10.85546875" style="79" customWidth="1"/>
    <col min="27" max="16384" width="10.85546875" style="79"/>
  </cols>
  <sheetData>
    <row r="1" spans="1:20" x14ac:dyDescent="0.25">
      <c r="E1" s="306" t="s">
        <v>315</v>
      </c>
      <c r="F1" s="306"/>
      <c r="G1" s="306"/>
      <c r="H1" s="306"/>
      <c r="I1" s="306"/>
      <c r="J1" s="306"/>
      <c r="K1" s="306"/>
      <c r="L1" s="306"/>
      <c r="M1" s="306"/>
      <c r="N1" s="306"/>
      <c r="O1" s="306" t="s">
        <v>315</v>
      </c>
      <c r="P1" s="306"/>
      <c r="Q1" s="306"/>
      <c r="R1" s="306"/>
      <c r="S1" s="306"/>
      <c r="T1" s="306"/>
    </row>
    <row r="2" spans="1:20" ht="16.5" customHeight="1" x14ac:dyDescent="0.25">
      <c r="A2" s="295" t="s">
        <v>316</v>
      </c>
      <c r="B2" s="295"/>
      <c r="C2" s="295"/>
      <c r="E2" s="307"/>
      <c r="F2" s="307"/>
      <c r="G2" s="307"/>
      <c r="H2" s="307"/>
      <c r="I2" s="307"/>
      <c r="J2" s="307"/>
      <c r="K2" s="307"/>
      <c r="L2" s="307"/>
      <c r="M2" s="307"/>
      <c r="N2" s="307"/>
      <c r="O2" s="307"/>
      <c r="P2" s="307"/>
      <c r="Q2" s="307"/>
      <c r="R2" s="307"/>
      <c r="S2" s="307"/>
      <c r="T2" s="307"/>
    </row>
    <row r="3" spans="1:20" ht="14.45" customHeight="1" x14ac:dyDescent="0.25">
      <c r="E3" s="300" t="s">
        <v>317</v>
      </c>
      <c r="F3" s="301"/>
      <c r="G3" s="301"/>
      <c r="H3" s="301"/>
      <c r="I3" s="301"/>
      <c r="J3" s="301"/>
      <c r="K3" s="301"/>
      <c r="L3" s="301"/>
      <c r="M3" s="301"/>
      <c r="N3" s="302"/>
      <c r="O3" s="296" t="s">
        <v>318</v>
      </c>
      <c r="P3" s="297"/>
      <c r="Q3" s="297"/>
      <c r="R3" s="297"/>
      <c r="S3" s="297"/>
      <c r="T3" s="298"/>
    </row>
    <row r="4" spans="1:20" ht="17.25" thickBot="1" x14ac:dyDescent="0.3">
      <c r="E4" s="300" t="s">
        <v>319</v>
      </c>
      <c r="F4" s="301"/>
      <c r="G4" s="301"/>
      <c r="H4" s="302"/>
      <c r="I4" s="300" t="s">
        <v>320</v>
      </c>
      <c r="J4" s="301"/>
      <c r="K4" s="302"/>
      <c r="L4" s="300" t="s">
        <v>321</v>
      </c>
      <c r="M4" s="301"/>
      <c r="N4" s="303"/>
      <c r="O4" s="304" t="s">
        <v>322</v>
      </c>
      <c r="P4" s="305"/>
      <c r="Q4" s="299" t="s">
        <v>323</v>
      </c>
      <c r="R4" s="299"/>
      <c r="S4" s="299"/>
      <c r="T4" s="6" t="s">
        <v>324</v>
      </c>
    </row>
    <row r="5" spans="1:20" ht="83.25" thickBot="1" x14ac:dyDescent="0.3">
      <c r="A5" s="169" t="s">
        <v>325</v>
      </c>
      <c r="B5" s="167" t="s">
        <v>18</v>
      </c>
      <c r="C5" s="168" t="s">
        <v>326</v>
      </c>
      <c r="D5" s="168" t="s">
        <v>327</v>
      </c>
      <c r="E5" s="7" t="s">
        <v>328</v>
      </c>
      <c r="F5" s="223" t="s">
        <v>329</v>
      </c>
      <c r="G5" s="8" t="s">
        <v>330</v>
      </c>
      <c r="H5" s="8" t="s">
        <v>331</v>
      </c>
      <c r="I5" s="8" t="s">
        <v>332</v>
      </c>
      <c r="J5" s="8" t="s">
        <v>333</v>
      </c>
      <c r="K5" s="8" t="s">
        <v>334</v>
      </c>
      <c r="L5" s="8" t="s">
        <v>335</v>
      </c>
      <c r="M5" s="8" t="s">
        <v>47</v>
      </c>
      <c r="N5" s="9" t="s">
        <v>336</v>
      </c>
      <c r="O5" s="10" t="s">
        <v>337</v>
      </c>
      <c r="P5" s="10" t="s">
        <v>338</v>
      </c>
      <c r="Q5" s="11" t="s">
        <v>339</v>
      </c>
      <c r="R5" s="12" t="s">
        <v>340</v>
      </c>
      <c r="S5" s="11" t="s">
        <v>341</v>
      </c>
      <c r="T5" s="13" t="s">
        <v>342</v>
      </c>
    </row>
    <row r="6" spans="1:20" ht="33" x14ac:dyDescent="0.25">
      <c r="A6" s="170">
        <f>C_S_Digital[[#This Row],[ID_C]]</f>
        <v>1</v>
      </c>
      <c r="B6" s="171" t="e">
        <f>C_S_Digital[[#This Row],[Proceso]]</f>
        <v>#REF!</v>
      </c>
      <c r="C6" s="172" t="str">
        <f>C_S_Digital[[#This Row],[Código riesgo]]</f>
        <v>ADQ-GC1</v>
      </c>
      <c r="D6" s="173" t="str">
        <f>C_S_Digital[[#This Row],[Código control]]</f>
        <v>ADQ-GC1-1</v>
      </c>
      <c r="E6" s="157"/>
      <c r="F6" s="16"/>
      <c r="G6" s="157"/>
      <c r="H6" s="16"/>
      <c r="I6" s="16"/>
      <c r="J6" s="16"/>
      <c r="K6" s="16"/>
      <c r="L6" s="14"/>
      <c r="M6" s="14"/>
      <c r="N6" s="15"/>
      <c r="O6" s="17"/>
      <c r="P6" s="18"/>
      <c r="Q6" s="18"/>
      <c r="R6" s="18"/>
      <c r="S6" s="19"/>
      <c r="T6" s="21"/>
    </row>
    <row r="7" spans="1:20" ht="33" x14ac:dyDescent="0.25">
      <c r="A7" s="174">
        <f>C_S_Digital[[#This Row],[ID_C]]</f>
        <v>2</v>
      </c>
      <c r="B7" s="139" t="str">
        <f>C_S_Digital[[#This Row],[Proceso]]</f>
        <v>Adquisiciones</v>
      </c>
      <c r="C7" s="140" t="str">
        <f>C_S_Digital[[#This Row],[Código riesgo]]</f>
        <v>ASCP-MUS1</v>
      </c>
      <c r="D7" s="175" t="str">
        <f>C_S_Digital[[#This Row],[Código control]]</f>
        <v>ASCP-MUS1-1</v>
      </c>
      <c r="E7" s="158"/>
      <c r="F7" s="24"/>
      <c r="G7" s="158"/>
      <c r="H7" s="24"/>
      <c r="I7" s="24"/>
      <c r="J7" s="24"/>
      <c r="K7" s="24"/>
      <c r="L7" s="22"/>
      <c r="M7" s="22"/>
      <c r="N7" s="23"/>
      <c r="O7" s="25"/>
      <c r="P7" s="26"/>
      <c r="Q7" s="26"/>
      <c r="R7" s="26"/>
      <c r="S7" s="27"/>
      <c r="T7" s="29"/>
    </row>
    <row r="8" spans="1:20" ht="49.5" x14ac:dyDescent="0.25">
      <c r="A8" s="174">
        <f>C_S_Digital[[#This Row],[ID_C]]</f>
        <v>3</v>
      </c>
      <c r="B8" s="139" t="str">
        <f>C_S_Digital[[#This Row],[Proceso]]</f>
        <v>Apropiación social del conocimiento y del patrimonio</v>
      </c>
      <c r="C8" s="140" t="str">
        <f>C_S_Digital[[#This Row],[Código riesgo]]</f>
        <v>ASCP-SE1</v>
      </c>
      <c r="D8" s="175" t="str">
        <f>C_S_Digital[[#This Row],[Código control]]</f>
        <v/>
      </c>
      <c r="E8" s="158"/>
      <c r="F8" s="24"/>
      <c r="G8" s="158"/>
      <c r="H8" s="24"/>
      <c r="I8" s="24"/>
      <c r="J8" s="24"/>
      <c r="K8" s="24"/>
      <c r="L8" s="22"/>
      <c r="M8" s="22"/>
      <c r="N8" s="23"/>
      <c r="O8" s="25"/>
      <c r="P8" s="26"/>
      <c r="Q8" s="26"/>
      <c r="R8" s="26"/>
      <c r="S8" s="27"/>
      <c r="T8" s="29"/>
    </row>
    <row r="9" spans="1:20" ht="49.5" x14ac:dyDescent="0.25">
      <c r="A9" s="174">
        <f>C_S_Digital[[#This Row],[ID_C]]</f>
        <v>4</v>
      </c>
      <c r="B9" s="139" t="str">
        <f>C_S_Digital[[#This Row],[Proceso]]</f>
        <v>Apropiación social del conocimiento y del patrimonio</v>
      </c>
      <c r="C9" s="140" t="str">
        <f>C_S_Digital[[#This Row],[Código riesgo]]</f>
        <v>ASCP-SE2</v>
      </c>
      <c r="D9" s="175" t="str">
        <f>C_S_Digital[[#This Row],[Código control]]</f>
        <v/>
      </c>
      <c r="E9" s="158"/>
      <c r="F9" s="24"/>
      <c r="G9" s="158"/>
      <c r="H9" s="24"/>
      <c r="I9" s="24"/>
      <c r="J9" s="24"/>
      <c r="K9" s="24"/>
      <c r="L9" s="22"/>
      <c r="M9" s="22"/>
      <c r="N9" s="23"/>
      <c r="O9" s="25"/>
      <c r="P9" s="26"/>
      <c r="Q9" s="26"/>
      <c r="R9" s="26"/>
      <c r="S9" s="27"/>
      <c r="T9" s="29"/>
    </row>
    <row r="10" spans="1:20" ht="49.5" x14ac:dyDescent="0.25">
      <c r="A10" s="174">
        <f>C_S_Digital[[#This Row],[ID_C]]</f>
        <v>5</v>
      </c>
      <c r="B10" s="139" t="str">
        <f>C_S_Digital[[#This Row],[Proceso]]</f>
        <v>Apropiación social del conocimiento y del patrimonio</v>
      </c>
      <c r="C10" s="140" t="str">
        <f>C_S_Digital[[#This Row],[Código riesgo]]</f>
        <v>ASCP-SE3</v>
      </c>
      <c r="D10" s="175" t="str">
        <f>C_S_Digital[[#This Row],[Código control]]</f>
        <v/>
      </c>
      <c r="E10" s="158"/>
      <c r="F10" s="24"/>
      <c r="G10" s="158"/>
      <c r="H10" s="24"/>
      <c r="I10" s="24"/>
      <c r="J10" s="24"/>
      <c r="K10" s="24"/>
      <c r="L10" s="22"/>
      <c r="M10" s="22"/>
      <c r="N10" s="23"/>
      <c r="O10" s="25"/>
      <c r="P10" s="26"/>
      <c r="Q10" s="26"/>
      <c r="R10" s="26"/>
      <c r="S10" s="27"/>
      <c r="T10" s="29"/>
    </row>
    <row r="11" spans="1:20" ht="50.25" thickBot="1" x14ac:dyDescent="0.3">
      <c r="A11" s="176">
        <f>C_S_Digital[[#This Row],[ID_C]]</f>
        <v>6</v>
      </c>
      <c r="B11" s="177" t="str">
        <f>C_S_Digital[[#This Row],[Proceso]]</f>
        <v>Apropiación social del conocimiento y del patrimonio</v>
      </c>
      <c r="C11" s="178" t="str">
        <f>C_S_Digital[[#This Row],[Código riesgo]]</f>
        <v>ASCP-SE4</v>
      </c>
      <c r="D11" s="179" t="str">
        <f>C_S_Digital[[#This Row],[Código control]]</f>
        <v/>
      </c>
      <c r="E11" s="159"/>
      <c r="F11" s="33"/>
      <c r="G11" s="159"/>
      <c r="H11" s="33"/>
      <c r="I11" s="33"/>
      <c r="J11" s="33"/>
      <c r="K11" s="33"/>
      <c r="L11" s="31"/>
      <c r="M11" s="31"/>
      <c r="N11" s="32"/>
      <c r="O11" s="34"/>
      <c r="P11" s="35"/>
      <c r="Q11" s="35"/>
      <c r="R11" s="35"/>
      <c r="S11" s="36"/>
      <c r="T11" s="38"/>
    </row>
    <row r="12" spans="1:20" ht="49.5" x14ac:dyDescent="0.25">
      <c r="A12" s="170">
        <f>C_S_Digital[[#This Row],[ID_C]]</f>
        <v>7</v>
      </c>
      <c r="B12" s="171" t="str">
        <f>C_S_Digital[[#This Row],[Proceso]]</f>
        <v>Apropiación social del conocimiento y del patrimonio</v>
      </c>
      <c r="C12" s="172" t="str">
        <f>C_S_Digital[[#This Row],[Código riesgo]]</f>
        <v>CD-CDI1</v>
      </c>
      <c r="D12" s="173" t="str">
        <f>C_S_Digital[[#This Row],[Código control]]</f>
        <v/>
      </c>
      <c r="E12" s="157"/>
      <c r="F12" s="16"/>
      <c r="G12" s="157"/>
      <c r="H12" s="16"/>
      <c r="I12" s="16"/>
      <c r="J12" s="16"/>
      <c r="K12" s="16"/>
      <c r="L12" s="14"/>
      <c r="M12" s="14"/>
      <c r="N12" s="15"/>
      <c r="O12" s="17"/>
      <c r="P12" s="18"/>
      <c r="Q12" s="18"/>
      <c r="R12" s="18"/>
      <c r="S12" s="19"/>
      <c r="T12" s="21"/>
    </row>
    <row r="13" spans="1:20" ht="33" x14ac:dyDescent="0.25">
      <c r="A13" s="174">
        <f>C_S_Digital[[#This Row],[ID_C]]</f>
        <v>8</v>
      </c>
      <c r="B13" s="139" t="str">
        <f>C_S_Digital[[#This Row],[Proceso]]</f>
        <v>Control Disciplinario</v>
      </c>
      <c r="C13" s="140" t="str">
        <f>C_S_Digital[[#This Row],[Código riesgo]]</f>
        <v>CP-GF1</v>
      </c>
      <c r="D13" s="175" t="str">
        <f>C_S_Digital[[#This Row],[Código control]]</f>
        <v/>
      </c>
      <c r="E13" s="158"/>
      <c r="F13" s="24"/>
      <c r="G13" s="158"/>
      <c r="H13" s="24"/>
      <c r="I13" s="24"/>
      <c r="J13" s="24"/>
      <c r="K13" s="24"/>
      <c r="L13" s="22"/>
      <c r="M13" s="22"/>
      <c r="N13" s="23"/>
      <c r="O13" s="25"/>
      <c r="P13" s="26"/>
      <c r="Q13" s="26"/>
      <c r="R13" s="26"/>
      <c r="S13" s="27"/>
      <c r="T13" s="29"/>
    </row>
    <row r="14" spans="1:20" ht="33" x14ac:dyDescent="0.25">
      <c r="A14" s="174">
        <f>C_S_Digital[[#This Row],[ID_C]]</f>
        <v>9</v>
      </c>
      <c r="B14" s="139" t="str">
        <f>C_S_Digital[[#This Row],[Proceso]]</f>
        <v>Contabilidad y presupuesto</v>
      </c>
      <c r="C14" s="140" t="str">
        <f>C_S_Digital[[#This Row],[Código riesgo]]</f>
        <v>CP-GF2</v>
      </c>
      <c r="D14" s="175" t="str">
        <f>C_S_Digital[[#This Row],[Código control]]</f>
        <v/>
      </c>
      <c r="E14" s="158"/>
      <c r="F14" s="24"/>
      <c r="G14" s="158"/>
      <c r="H14" s="24"/>
      <c r="I14" s="24"/>
      <c r="J14" s="24"/>
      <c r="K14" s="24"/>
      <c r="L14" s="22"/>
      <c r="M14" s="22"/>
      <c r="N14" s="23"/>
      <c r="O14" s="25"/>
      <c r="P14" s="26"/>
      <c r="Q14" s="26"/>
      <c r="R14" s="26"/>
      <c r="S14" s="27"/>
      <c r="T14" s="29"/>
    </row>
    <row r="15" spans="1:20" ht="16.5" x14ac:dyDescent="0.25">
      <c r="A15" s="174">
        <f>C_S_Digital[[#This Row],[ID_C]]</f>
        <v>10</v>
      </c>
      <c r="B15" s="139" t="str">
        <f>C_S_Digital[[#This Row],[Proceso]]</f>
        <v>Contabilidad y presupuesto</v>
      </c>
      <c r="C15" s="140" t="str">
        <f>C_S_Digital[[#This Row],[Código riesgo]]</f>
        <v>CP-GF3</v>
      </c>
      <c r="D15" s="175" t="str">
        <f>C_S_Digital[[#This Row],[Código control]]</f>
        <v/>
      </c>
      <c r="E15" s="158"/>
      <c r="F15" s="24"/>
      <c r="G15" s="158"/>
      <c r="H15" s="24"/>
      <c r="I15" s="24"/>
      <c r="J15" s="24"/>
      <c r="K15" s="24"/>
      <c r="L15" s="22"/>
      <c r="M15" s="22"/>
      <c r="N15" s="23"/>
      <c r="O15" s="25"/>
      <c r="P15" s="26"/>
      <c r="Q15" s="26"/>
      <c r="R15" s="26"/>
      <c r="S15" s="27"/>
      <c r="T15" s="29"/>
    </row>
    <row r="16" spans="1:20" ht="16.5" x14ac:dyDescent="0.25">
      <c r="A16" s="174">
        <f>C_S_Digital[[#This Row],[ID_C]]</f>
        <v>11</v>
      </c>
      <c r="B16" s="139" t="str">
        <f>C_S_Digital[[#This Row],[Proceso]]</f>
        <v>Contabilidad y presupuesto</v>
      </c>
      <c r="C16" s="140" t="str">
        <f>C_S_Digital[[#This Row],[Código riesgo]]</f>
        <v>DIR-DG1</v>
      </c>
      <c r="D16" s="175" t="str">
        <f>C_S_Digital[[#This Row],[Código control]]</f>
        <v/>
      </c>
      <c r="E16" s="158"/>
      <c r="F16" s="24"/>
      <c r="G16" s="158"/>
      <c r="H16" s="24"/>
      <c r="I16" s="24"/>
      <c r="J16" s="24"/>
      <c r="K16" s="24"/>
      <c r="L16" s="22"/>
      <c r="M16" s="22"/>
      <c r="N16" s="23"/>
      <c r="O16" s="25"/>
      <c r="P16" s="26"/>
      <c r="Q16" s="26"/>
      <c r="R16" s="26"/>
      <c r="S16" s="27"/>
      <c r="T16" s="29"/>
    </row>
    <row r="17" spans="1:20" ht="33.75" thickBot="1" x14ac:dyDescent="0.3">
      <c r="A17" s="176">
        <f>C_S_Digital[[#This Row],[ID_C]]</f>
        <v>12</v>
      </c>
      <c r="B17" s="177" t="str">
        <f>C_S_Digital[[#This Row],[Proceso]]</f>
        <v>Direccionamiento estratégico</v>
      </c>
      <c r="C17" s="178" t="str">
        <f>C_S_Digital[[#This Row],[Código riesgo]]</f>
        <v>DIR-GP1</v>
      </c>
      <c r="D17" s="179" t="str">
        <f>C_S_Digital[[#This Row],[Código control]]</f>
        <v/>
      </c>
      <c r="E17" s="159"/>
      <c r="F17" s="33"/>
      <c r="G17" s="159"/>
      <c r="H17" s="33"/>
      <c r="I17" s="33"/>
      <c r="J17" s="33"/>
      <c r="K17" s="33"/>
      <c r="L17" s="31"/>
      <c r="M17" s="31"/>
      <c r="N17" s="32"/>
      <c r="O17" s="34"/>
      <c r="P17" s="35"/>
      <c r="Q17" s="35"/>
      <c r="R17" s="35"/>
      <c r="S17" s="36"/>
      <c r="T17" s="38"/>
    </row>
    <row r="18" spans="1:20" ht="33" x14ac:dyDescent="0.25">
      <c r="A18" s="170">
        <f>C_S_Digital[[#This Row],[ID_C]]</f>
        <v>13</v>
      </c>
      <c r="B18" s="171" t="str">
        <f>C_S_Digital[[#This Row],[Proceso]]</f>
        <v>Direccionamiento estratégico</v>
      </c>
      <c r="C18" s="172" t="str">
        <f>C_S_Digital[[#This Row],[Código riesgo]]</f>
        <v>DIR-SAF1</v>
      </c>
      <c r="D18" s="173" t="str">
        <f>C_S_Digital[[#This Row],[Código control]]</f>
        <v/>
      </c>
      <c r="E18" s="157"/>
      <c r="F18" s="16"/>
      <c r="G18" s="157"/>
      <c r="H18" s="16"/>
      <c r="I18" s="16"/>
      <c r="J18" s="16"/>
      <c r="K18" s="16"/>
      <c r="L18" s="14"/>
      <c r="M18" s="14"/>
      <c r="N18" s="15"/>
      <c r="O18" s="17"/>
      <c r="P18" s="18"/>
      <c r="Q18" s="18"/>
      <c r="R18" s="18"/>
      <c r="S18" s="19"/>
      <c r="T18" s="21"/>
    </row>
    <row r="19" spans="1:20" ht="33" x14ac:dyDescent="0.25">
      <c r="A19" s="174">
        <f>C_S_Digital[[#This Row],[ID_C]]</f>
        <v>14</v>
      </c>
      <c r="B19" s="139" t="str">
        <f>C_S_Digital[[#This Row],[Proceso]]</f>
        <v>Direccionamiento estratégico</v>
      </c>
      <c r="C19" s="140" t="str">
        <f>C_S_Digital[[#This Row],[Código riesgo]]</f>
        <v>DIR-SAF2</v>
      </c>
      <c r="D19" s="175" t="str">
        <f>C_S_Digital[[#This Row],[Código control]]</f>
        <v/>
      </c>
      <c r="E19" s="158"/>
      <c r="F19" s="24"/>
      <c r="G19" s="158"/>
      <c r="H19" s="24"/>
      <c r="I19" s="24"/>
      <c r="J19" s="24"/>
      <c r="K19" s="24"/>
      <c r="L19" s="22"/>
      <c r="M19" s="22"/>
      <c r="N19" s="23"/>
      <c r="O19" s="25"/>
      <c r="P19" s="26"/>
      <c r="Q19" s="26"/>
      <c r="R19" s="26"/>
      <c r="S19" s="27"/>
      <c r="T19" s="29"/>
    </row>
    <row r="20" spans="1:20" ht="33" x14ac:dyDescent="0.25">
      <c r="A20" s="174">
        <f>C_S_Digital[[#This Row],[ID_C]]</f>
        <v>15</v>
      </c>
      <c r="B20" s="139" t="str">
        <f>C_S_Digital[[#This Row],[Proceso]]</f>
        <v>Direccionamiento estratégico</v>
      </c>
      <c r="C20" s="140" t="str">
        <f>C_S_Digital[[#This Row],[Código riesgo]]</f>
        <v>DIR-SAF3</v>
      </c>
      <c r="D20" s="175" t="str">
        <f>C_S_Digital[[#This Row],[Código control]]</f>
        <v/>
      </c>
      <c r="E20" s="158"/>
      <c r="F20" s="24"/>
      <c r="G20" s="158"/>
      <c r="H20" s="24"/>
      <c r="I20" s="24"/>
      <c r="J20" s="24"/>
      <c r="K20" s="24"/>
      <c r="L20" s="22"/>
      <c r="M20" s="22"/>
      <c r="N20" s="23"/>
      <c r="O20" s="25"/>
      <c r="P20" s="26"/>
      <c r="Q20" s="26"/>
      <c r="R20" s="26"/>
      <c r="S20" s="27"/>
      <c r="T20" s="29"/>
    </row>
    <row r="21" spans="1:20" ht="33" x14ac:dyDescent="0.25">
      <c r="A21" s="174">
        <f>C_S_Digital[[#This Row],[ID_C]]</f>
        <v>16</v>
      </c>
      <c r="B21" s="139" t="str">
        <f>C_S_Digital[[#This Row],[Proceso]]</f>
        <v>Direccionamiento estratégico</v>
      </c>
      <c r="C21" s="140" t="str">
        <f>C_S_Digital[[#This Row],[Código riesgo]]</f>
        <v>DIR-SAF4</v>
      </c>
      <c r="D21" s="175" t="str">
        <f>C_S_Digital[[#This Row],[Código control]]</f>
        <v/>
      </c>
      <c r="E21" s="158"/>
      <c r="F21" s="24"/>
      <c r="G21" s="158"/>
      <c r="H21" s="24"/>
      <c r="I21" s="24"/>
      <c r="J21" s="24"/>
      <c r="K21" s="24"/>
      <c r="L21" s="22"/>
      <c r="M21" s="22"/>
      <c r="N21" s="23"/>
      <c r="O21" s="25"/>
      <c r="P21" s="26"/>
      <c r="Q21" s="26"/>
      <c r="R21" s="39"/>
      <c r="S21" s="40"/>
      <c r="T21" s="29"/>
    </row>
    <row r="22" spans="1:20" ht="33" x14ac:dyDescent="0.25">
      <c r="A22" s="174">
        <f>C_S_Digital[[#This Row],[ID_C]]</f>
        <v>17</v>
      </c>
      <c r="B22" s="139" t="str">
        <f>C_S_Digital[[#This Row],[Proceso]]</f>
        <v>Direccionamiento estratégico</v>
      </c>
      <c r="C22" s="140" t="str">
        <f>C_S_Digital[[#This Row],[Código riesgo]]</f>
        <v>DIR-GP2</v>
      </c>
      <c r="D22" s="175" t="str">
        <f>C_S_Digital[[#This Row],[Código control]]</f>
        <v/>
      </c>
      <c r="E22" s="158"/>
      <c r="F22" s="24"/>
      <c r="G22" s="158"/>
      <c r="H22" s="24"/>
      <c r="I22" s="24"/>
      <c r="J22" s="24"/>
      <c r="K22" s="24"/>
      <c r="L22" s="22"/>
      <c r="M22" s="22"/>
      <c r="N22" s="23"/>
      <c r="O22" s="25"/>
      <c r="P22" s="26"/>
      <c r="Q22" s="26"/>
      <c r="R22" s="39"/>
      <c r="S22" s="41"/>
      <c r="T22" s="29"/>
    </row>
    <row r="23" spans="1:20" ht="33.75" thickBot="1" x14ac:dyDescent="0.3">
      <c r="A23" s="176">
        <f>C_S_Digital[[#This Row],[ID_C]]</f>
        <v>18</v>
      </c>
      <c r="B23" s="177" t="str">
        <f>C_S_Digital[[#This Row],[Proceso]]</f>
        <v>Direccionamiento estratégico</v>
      </c>
      <c r="C23" s="178" t="str">
        <f>C_S_Digital[[#This Row],[Código riesgo]]</f>
        <v>DIR-GP3</v>
      </c>
      <c r="D23" s="179" t="str">
        <f>C_S_Digital[[#This Row],[Código control]]</f>
        <v/>
      </c>
      <c r="E23" s="159"/>
      <c r="F23" s="33"/>
      <c r="G23" s="159"/>
      <c r="H23" s="33"/>
      <c r="I23" s="33"/>
      <c r="J23" s="33"/>
      <c r="K23" s="33"/>
      <c r="L23" s="31"/>
      <c r="M23" s="31"/>
      <c r="N23" s="32"/>
      <c r="O23" s="34"/>
      <c r="P23" s="35"/>
      <c r="Q23" s="35"/>
      <c r="R23" s="42"/>
      <c r="S23" s="37"/>
      <c r="T23" s="38"/>
    </row>
    <row r="24" spans="1:20" ht="33" x14ac:dyDescent="0.25">
      <c r="A24" s="170">
        <f>C_S_Digital[[#This Row],[ID_C]]</f>
        <v>19</v>
      </c>
      <c r="B24" s="171" t="str">
        <f>C_S_Digital[[#This Row],[Proceso]]</f>
        <v>Direccionamiento estratégico</v>
      </c>
      <c r="C24" s="172" t="str">
        <f>C_S_Digital[[#This Row],[Código riesgo]]</f>
        <v>DIR-GP4</v>
      </c>
      <c r="D24" s="173" t="str">
        <f>C_S_Digital[[#This Row],[Código control]]</f>
        <v/>
      </c>
      <c r="E24" s="157"/>
      <c r="F24" s="16"/>
      <c r="G24" s="157"/>
      <c r="H24" s="16"/>
      <c r="I24" s="16"/>
      <c r="J24" s="16"/>
      <c r="K24" s="16"/>
      <c r="L24" s="43"/>
      <c r="M24" s="14"/>
      <c r="N24" s="15"/>
      <c r="O24" s="17"/>
      <c r="P24" s="18"/>
      <c r="Q24" s="18"/>
      <c r="R24" s="44"/>
      <c r="S24" s="20"/>
      <c r="T24" s="21"/>
    </row>
    <row r="25" spans="1:20" ht="33" x14ac:dyDescent="0.25">
      <c r="A25" s="174">
        <f>C_S_Digital[[#This Row],[ID_C]]</f>
        <v>20</v>
      </c>
      <c r="B25" s="139" t="str">
        <f>C_S_Digital[[#This Row],[Proceso]]</f>
        <v>Direccionamiento estratégico</v>
      </c>
      <c r="C25" s="140" t="str">
        <f>C_S_Digital[[#This Row],[Código riesgo]]</f>
        <v>DIR-GP5</v>
      </c>
      <c r="D25" s="175" t="str">
        <f>C_S_Digital[[#This Row],[Código control]]</f>
        <v/>
      </c>
      <c r="E25" s="158"/>
      <c r="F25" s="24"/>
      <c r="G25" s="158"/>
      <c r="H25" s="24"/>
      <c r="I25" s="24"/>
      <c r="J25" s="24"/>
      <c r="K25" s="24"/>
      <c r="L25" s="22"/>
      <c r="M25" s="22"/>
      <c r="N25" s="23"/>
      <c r="O25" s="25"/>
      <c r="P25" s="26"/>
      <c r="Q25" s="26"/>
      <c r="R25" s="39"/>
      <c r="S25" s="28"/>
      <c r="T25" s="29"/>
    </row>
    <row r="26" spans="1:20" ht="33" x14ac:dyDescent="0.25">
      <c r="A26" s="174">
        <f>C_S_Digital[[#This Row],[ID_C]]</f>
        <v>21</v>
      </c>
      <c r="B26" s="139" t="str">
        <f>C_S_Digital[[#This Row],[Proceso]]</f>
        <v>Direccionamiento estratégico</v>
      </c>
      <c r="C26" s="140" t="str">
        <f>C_S_Digital[[#This Row],[Código riesgo]]</f>
        <v>FOR-BE1</v>
      </c>
      <c r="D26" s="175" t="str">
        <f>C_S_Digital[[#This Row],[Código control]]</f>
        <v/>
      </c>
      <c r="E26" s="158"/>
      <c r="F26" s="24"/>
      <c r="G26" s="158"/>
      <c r="H26" s="24"/>
      <c r="I26" s="24"/>
      <c r="J26" s="24"/>
      <c r="K26" s="24"/>
      <c r="L26" s="22"/>
      <c r="M26" s="22"/>
      <c r="N26" s="23"/>
      <c r="O26" s="25"/>
      <c r="P26" s="26"/>
      <c r="Q26" s="26"/>
      <c r="R26" s="39"/>
      <c r="S26" s="28"/>
      <c r="T26" s="29"/>
    </row>
    <row r="27" spans="1:20" ht="16.5" x14ac:dyDescent="0.25">
      <c r="A27" s="174">
        <f>C_S_Digital[[#This Row],[ID_C]]</f>
        <v>22</v>
      </c>
      <c r="B27" s="139" t="str">
        <f>C_S_Digital[[#This Row],[Proceso]]</f>
        <v>Formación</v>
      </c>
      <c r="C27" s="140" t="str">
        <f>C_S_Digital[[#This Row],[Código riesgo]]</f>
        <v>FOR-BE2</v>
      </c>
      <c r="D27" s="175" t="str">
        <f>C_S_Digital[[#This Row],[Código control]]</f>
        <v/>
      </c>
      <c r="E27" s="158"/>
      <c r="F27" s="24"/>
      <c r="G27" s="158"/>
      <c r="H27" s="24"/>
      <c r="I27" s="24"/>
      <c r="J27" s="24"/>
      <c r="K27" s="24"/>
      <c r="L27" s="24"/>
      <c r="M27" s="22"/>
      <c r="N27" s="23"/>
      <c r="O27" s="25"/>
      <c r="P27" s="26"/>
      <c r="Q27" s="26"/>
      <c r="R27" s="39"/>
      <c r="S27" s="28"/>
      <c r="T27" s="29"/>
    </row>
    <row r="28" spans="1:20" ht="16.5" x14ac:dyDescent="0.25">
      <c r="A28" s="174">
        <f>C_S_Digital[[#This Row],[ID_C]]</f>
        <v>23</v>
      </c>
      <c r="B28" s="139" t="str">
        <f>C_S_Digital[[#This Row],[Proceso]]</f>
        <v>Formación</v>
      </c>
      <c r="C28" s="140" t="str">
        <f>C_S_Digital[[#This Row],[Código riesgo]]</f>
        <v>FOR-BE3</v>
      </c>
      <c r="D28" s="175" t="str">
        <f>C_S_Digital[[#This Row],[Código control]]</f>
        <v/>
      </c>
      <c r="E28" s="158"/>
      <c r="F28" s="24"/>
      <c r="G28" s="158"/>
      <c r="H28" s="24"/>
      <c r="I28" s="24"/>
      <c r="J28" s="24"/>
      <c r="K28" s="24"/>
      <c r="L28" s="45"/>
      <c r="M28" s="22"/>
      <c r="N28" s="23"/>
      <c r="O28" s="25"/>
      <c r="P28" s="26"/>
      <c r="Q28" s="26"/>
      <c r="R28" s="39"/>
      <c r="S28" s="28"/>
      <c r="T28" s="29"/>
    </row>
    <row r="29" spans="1:20" ht="17.25" thickBot="1" x14ac:dyDescent="0.3">
      <c r="A29" s="176">
        <f>C_S_Digital[[#This Row],[ID_C]]</f>
        <v>24</v>
      </c>
      <c r="B29" s="177" t="str">
        <f>C_S_Digital[[#This Row],[Proceso]]</f>
        <v>Formación</v>
      </c>
      <c r="C29" s="178" t="str">
        <f>C_S_Digital[[#This Row],[Código riesgo]]</f>
        <v>F-SAB1</v>
      </c>
      <c r="D29" s="179" t="str">
        <f>C_S_Digital[[#This Row],[Código control]]</f>
        <v/>
      </c>
      <c r="E29" s="159"/>
      <c r="F29" s="33"/>
      <c r="G29" s="159"/>
      <c r="H29" s="33"/>
      <c r="I29" s="33"/>
      <c r="J29" s="33"/>
      <c r="K29" s="33"/>
      <c r="L29" s="31"/>
      <c r="M29" s="31"/>
      <c r="N29" s="32"/>
      <c r="O29" s="34"/>
      <c r="P29" s="35"/>
      <c r="Q29" s="35"/>
      <c r="R29" s="42"/>
      <c r="S29" s="37"/>
      <c r="T29" s="38"/>
    </row>
    <row r="30" spans="1:20" ht="16.5" x14ac:dyDescent="0.25">
      <c r="A30" s="170">
        <f>C_S_Digital[[#This Row],[ID_C]]</f>
        <v>25</v>
      </c>
      <c r="B30" s="171" t="str">
        <f>C_S_Digital[[#This Row],[Proceso]]</f>
        <v>Formación</v>
      </c>
      <c r="C30" s="172" t="str">
        <f>C_S_Digital[[#This Row],[Código riesgo]]</f>
        <v>GBS-RF1</v>
      </c>
      <c r="D30" s="173" t="str">
        <f>C_S_Digital[[#This Row],[Código control]]</f>
        <v/>
      </c>
      <c r="E30" s="157"/>
      <c r="F30" s="16"/>
      <c r="G30" s="157"/>
      <c r="H30" s="16"/>
      <c r="I30" s="16"/>
      <c r="J30" s="16"/>
      <c r="K30" s="16"/>
      <c r="L30" s="14"/>
      <c r="M30" s="14"/>
      <c r="N30" s="15"/>
      <c r="O30" s="17"/>
      <c r="P30" s="18"/>
      <c r="Q30" s="18"/>
      <c r="R30" s="44"/>
      <c r="S30" s="20"/>
      <c r="T30" s="21"/>
    </row>
    <row r="31" spans="1:20" ht="33" x14ac:dyDescent="0.25">
      <c r="A31" s="174">
        <f>C_S_Digital[[#This Row],[ID_C]]</f>
        <v>26</v>
      </c>
      <c r="B31" s="139" t="str">
        <f>C_S_Digital[[#This Row],[Proceso]]</f>
        <v>Gestión de bienes y servicios</v>
      </c>
      <c r="C31" s="140" t="str">
        <f>C_S_Digital[[#This Row],[Código riesgo]]</f>
        <v>GBS-RF2</v>
      </c>
      <c r="D31" s="175" t="str">
        <f>C_S_Digital[[#This Row],[Código control]]</f>
        <v/>
      </c>
      <c r="E31" s="158"/>
      <c r="F31" s="24"/>
      <c r="G31" s="158"/>
      <c r="H31" s="24"/>
      <c r="I31" s="24"/>
      <c r="J31" s="24"/>
      <c r="K31" s="24"/>
      <c r="L31" s="22"/>
      <c r="M31" s="22"/>
      <c r="N31" s="23"/>
      <c r="O31" s="25"/>
      <c r="P31" s="26"/>
      <c r="Q31" s="26"/>
      <c r="R31" s="39"/>
      <c r="S31" s="28"/>
      <c r="T31" s="29"/>
    </row>
    <row r="32" spans="1:20" ht="33" x14ac:dyDescent="0.25">
      <c r="A32" s="174">
        <f>C_S_Digital[[#This Row],[ID_C]]</f>
        <v>27</v>
      </c>
      <c r="B32" s="139" t="str">
        <f>C_S_Digital[[#This Row],[Proceso]]</f>
        <v>Gestión de bienes y servicios</v>
      </c>
      <c r="C32" s="140" t="str">
        <f>C_S_Digital[[#This Row],[Código riesgo]]</f>
        <v>GBS-RF3</v>
      </c>
      <c r="D32" s="175" t="str">
        <f>C_S_Digital[[#This Row],[Código control]]</f>
        <v/>
      </c>
      <c r="E32" s="158"/>
      <c r="F32" s="24"/>
      <c r="G32" s="158"/>
      <c r="H32" s="24"/>
      <c r="I32" s="24"/>
      <c r="J32" s="24"/>
      <c r="K32" s="24"/>
      <c r="L32" s="22"/>
      <c r="M32" s="22"/>
      <c r="N32" s="23"/>
      <c r="O32" s="25"/>
      <c r="P32" s="26"/>
      <c r="Q32" s="26"/>
      <c r="R32" s="39"/>
      <c r="S32" s="28"/>
      <c r="T32" s="29"/>
    </row>
    <row r="33" spans="1:20" ht="33" x14ac:dyDescent="0.25">
      <c r="A33" s="174">
        <f>C_S_Digital[[#This Row],[ID_C]]</f>
        <v>28</v>
      </c>
      <c r="B33" s="139" t="str">
        <f>C_S_Digital[[#This Row],[Proceso]]</f>
        <v>Gestión de bienes y servicios</v>
      </c>
      <c r="C33" s="140" t="str">
        <f>C_S_Digital[[#This Row],[Código riesgo]]</f>
        <v>GTH-TH1</v>
      </c>
      <c r="D33" s="175" t="str">
        <f>C_S_Digital[[#This Row],[Código control]]</f>
        <v/>
      </c>
      <c r="E33" s="158"/>
      <c r="F33" s="24"/>
      <c r="G33" s="158"/>
      <c r="H33" s="24"/>
      <c r="I33" s="24"/>
      <c r="J33" s="24"/>
      <c r="K33" s="24"/>
      <c r="L33" s="22"/>
      <c r="M33" s="22"/>
      <c r="N33" s="23"/>
      <c r="O33" s="25"/>
      <c r="P33" s="26"/>
      <c r="Q33" s="26"/>
      <c r="R33" s="39"/>
      <c r="S33" s="28"/>
      <c r="T33" s="29"/>
    </row>
    <row r="34" spans="1:20" ht="33" x14ac:dyDescent="0.25">
      <c r="A34" s="174">
        <f>C_S_Digital[[#This Row],[ID_C]]</f>
        <v>29</v>
      </c>
      <c r="B34" s="139" t="str">
        <f>C_S_Digital[[#This Row],[Proceso]]</f>
        <v>Gestión del talento humano</v>
      </c>
      <c r="C34" s="140" t="str">
        <f>C_S_Digital[[#This Row],[Código riesgo]]</f>
        <v>INF-COM1</v>
      </c>
      <c r="D34" s="175" t="str">
        <f>C_S_Digital[[#This Row],[Código control]]</f>
        <v/>
      </c>
      <c r="E34" s="158"/>
      <c r="F34" s="24"/>
      <c r="G34" s="158"/>
      <c r="H34" s="24"/>
      <c r="I34" s="24"/>
      <c r="J34" s="24"/>
      <c r="K34" s="24"/>
      <c r="L34" s="22"/>
      <c r="M34" s="22"/>
      <c r="N34" s="23"/>
      <c r="O34" s="25"/>
      <c r="P34" s="26"/>
      <c r="Q34" s="26"/>
      <c r="R34" s="39"/>
      <c r="S34" s="28"/>
      <c r="T34" s="29"/>
    </row>
    <row r="35" spans="1:20" ht="33.75" thickBot="1" x14ac:dyDescent="0.3">
      <c r="A35" s="176">
        <f>C_S_Digital[[#This Row],[ID_C]]</f>
        <v>30</v>
      </c>
      <c r="B35" s="177" t="str">
        <f>C_S_Digital[[#This Row],[Proceso]]</f>
        <v>Información y comunicación</v>
      </c>
      <c r="C35" s="178" t="str">
        <f>C_S_Digital[[#This Row],[Código riesgo]]</f>
        <v>INF-GTI1</v>
      </c>
      <c r="D35" s="179" t="str">
        <f>C_S_Digital[[#This Row],[Código control]]</f>
        <v/>
      </c>
      <c r="E35" s="159"/>
      <c r="F35" s="33"/>
      <c r="G35" s="159"/>
      <c r="H35" s="33"/>
      <c r="I35" s="33"/>
      <c r="J35" s="33"/>
      <c r="K35" s="33"/>
      <c r="L35" s="31"/>
      <c r="M35" s="31"/>
      <c r="N35" s="32"/>
      <c r="O35" s="34"/>
      <c r="P35" s="35"/>
      <c r="Q35" s="35"/>
      <c r="R35" s="42"/>
      <c r="S35" s="37"/>
      <c r="T35" s="38"/>
    </row>
    <row r="36" spans="1:20" ht="33" x14ac:dyDescent="0.25">
      <c r="A36" s="170">
        <f>C_S_Digital[[#This Row],[ID_C]]</f>
        <v>31</v>
      </c>
      <c r="B36" s="171" t="str">
        <f>C_S_Digital[[#This Row],[Proceso]]</f>
        <v>Información y comunicación</v>
      </c>
      <c r="C36" s="172" t="str">
        <f>C_S_Digital[[#This Row],[Código riesgo]]</f>
        <v>INF-GTI2</v>
      </c>
      <c r="D36" s="173" t="str">
        <f>C_S_Digital[[#This Row],[Código control]]</f>
        <v/>
      </c>
      <c r="E36" s="157"/>
      <c r="F36" s="16"/>
      <c r="G36" s="157"/>
      <c r="H36" s="16"/>
      <c r="I36" s="16"/>
      <c r="J36" s="16"/>
      <c r="K36" s="16"/>
      <c r="L36" s="14"/>
      <c r="M36" s="14"/>
      <c r="N36" s="15"/>
      <c r="O36" s="17"/>
      <c r="P36" s="18"/>
      <c r="Q36" s="18"/>
      <c r="R36" s="44"/>
      <c r="S36" s="20"/>
      <c r="T36" s="21"/>
    </row>
    <row r="37" spans="1:20" ht="33" x14ac:dyDescent="0.25">
      <c r="A37" s="174">
        <f>C_S_Digital[[#This Row],[ID_C]]</f>
        <v>32</v>
      </c>
      <c r="B37" s="139" t="str">
        <f>C_S_Digital[[#This Row],[Proceso]]</f>
        <v>Información y comunicación</v>
      </c>
      <c r="C37" s="140" t="str">
        <f>C_S_Digital[[#This Row],[Código riesgo]]</f>
        <v>INF-GTI3</v>
      </c>
      <c r="D37" s="175" t="str">
        <f>C_S_Digital[[#This Row],[Código control]]</f>
        <v/>
      </c>
      <c r="E37" s="158"/>
      <c r="F37" s="24"/>
      <c r="G37" s="158"/>
      <c r="H37" s="24"/>
      <c r="I37" s="24"/>
      <c r="J37" s="24"/>
      <c r="K37" s="24"/>
      <c r="L37" s="22"/>
      <c r="M37" s="22"/>
      <c r="N37" s="23"/>
      <c r="O37" s="25"/>
      <c r="P37" s="26"/>
      <c r="Q37" s="26"/>
      <c r="R37" s="39"/>
      <c r="S37" s="28"/>
      <c r="T37" s="29"/>
    </row>
    <row r="38" spans="1:20" ht="33" x14ac:dyDescent="0.25">
      <c r="A38" s="174">
        <f>C_S_Digital[[#This Row],[ID_C]]</f>
        <v>33</v>
      </c>
      <c r="B38" s="139" t="str">
        <f>C_S_Digital[[#This Row],[Proceso]]</f>
        <v>Información y comunicación</v>
      </c>
      <c r="C38" s="140" t="str">
        <f>C_S_Digital[[#This Row],[Código riesgo]]</f>
        <v>INF-GTI4</v>
      </c>
      <c r="D38" s="175" t="str">
        <f>C_S_Digital[[#This Row],[Código control]]</f>
        <v/>
      </c>
      <c r="E38" s="158"/>
      <c r="F38" s="24"/>
      <c r="G38" s="158"/>
      <c r="H38" s="24"/>
      <c r="I38" s="24"/>
      <c r="J38" s="24"/>
      <c r="K38" s="24"/>
      <c r="L38" s="22"/>
      <c r="M38" s="22"/>
      <c r="N38" s="23"/>
      <c r="O38" s="25"/>
      <c r="P38" s="26"/>
      <c r="Q38" s="26"/>
      <c r="R38" s="39"/>
      <c r="S38" s="28"/>
      <c r="T38" s="29"/>
    </row>
    <row r="39" spans="1:20" ht="33" x14ac:dyDescent="0.25">
      <c r="A39" s="174">
        <f>C_S_Digital[[#This Row],[ID_C]]</f>
        <v>34</v>
      </c>
      <c r="B39" s="139" t="str">
        <f>C_S_Digital[[#This Row],[Proceso]]</f>
        <v>Información y comunicación</v>
      </c>
      <c r="C39" s="140" t="str">
        <f>C_S_Digital[[#This Row],[Código riesgo]]</f>
        <v>INF-GTI5</v>
      </c>
      <c r="D39" s="175" t="str">
        <f>C_S_Digital[[#This Row],[Código control]]</f>
        <v/>
      </c>
      <c r="E39" s="158"/>
      <c r="F39" s="24"/>
      <c r="G39" s="158"/>
      <c r="H39" s="24"/>
      <c r="I39" s="24"/>
      <c r="J39" s="24"/>
      <c r="K39" s="24"/>
      <c r="L39" s="22"/>
      <c r="M39" s="22"/>
      <c r="N39" s="23"/>
      <c r="O39" s="25"/>
      <c r="P39" s="26"/>
      <c r="Q39" s="26"/>
      <c r="R39" s="39"/>
      <c r="S39" s="28"/>
      <c r="T39" s="29"/>
    </row>
    <row r="40" spans="1:20" ht="33" x14ac:dyDescent="0.25">
      <c r="A40" s="174">
        <f>C_S_Digital[[#This Row],[ID_C]]</f>
        <v>35</v>
      </c>
      <c r="B40" s="139" t="str">
        <f>C_S_Digital[[#This Row],[Proceso]]</f>
        <v>Información y comunicación</v>
      </c>
      <c r="C40" s="140" t="str">
        <f>C_S_Digital[[#This Row],[Código riesgo]]</f>
        <v>INV-IA1</v>
      </c>
      <c r="D40" s="175" t="str">
        <f>C_S_Digital[[#This Row],[Código control]]</f>
        <v/>
      </c>
      <c r="E40" s="158"/>
      <c r="F40" s="24"/>
      <c r="G40" s="158"/>
      <c r="H40" s="24"/>
      <c r="I40" s="24"/>
      <c r="J40" s="24"/>
      <c r="K40" s="24"/>
      <c r="L40" s="22"/>
      <c r="M40" s="22"/>
      <c r="N40" s="23"/>
      <c r="O40" s="25"/>
      <c r="P40" s="26"/>
      <c r="Q40" s="26"/>
      <c r="R40" s="39"/>
      <c r="S40" s="28"/>
      <c r="T40" s="29"/>
    </row>
    <row r="41" spans="1:20" ht="17.25" thickBot="1" x14ac:dyDescent="0.3">
      <c r="A41" s="176">
        <f>C_S_Digital[[#This Row],[ID_C]]</f>
        <v>36</v>
      </c>
      <c r="B41" s="177" t="str">
        <f>C_S_Digital[[#This Row],[Proceso]]</f>
        <v>Investigación</v>
      </c>
      <c r="C41" s="178" t="str">
        <f>C_S_Digital[[#This Row],[Código riesgo]]</f>
        <v>INV-IA2</v>
      </c>
      <c r="D41" s="179" t="str">
        <f>C_S_Digital[[#This Row],[Código control]]</f>
        <v/>
      </c>
      <c r="E41" s="159"/>
      <c r="F41" s="33"/>
      <c r="G41" s="159"/>
      <c r="H41" s="33"/>
      <c r="I41" s="33"/>
      <c r="J41" s="33"/>
      <c r="K41" s="33"/>
      <c r="L41" s="31"/>
      <c r="M41" s="31"/>
      <c r="N41" s="32"/>
      <c r="O41" s="34"/>
      <c r="P41" s="35"/>
      <c r="Q41" s="35"/>
      <c r="R41" s="42"/>
      <c r="S41" s="37"/>
      <c r="T41" s="38"/>
    </row>
    <row r="42" spans="1:20" ht="16.5" x14ac:dyDescent="0.25">
      <c r="A42" s="170">
        <f>C_S_Digital[[#This Row],[ID_C]]</f>
        <v>37</v>
      </c>
      <c r="B42" s="171" t="str">
        <f>C_S_Digital[[#This Row],[Proceso]]</f>
        <v>Investigación</v>
      </c>
      <c r="C42" s="172" t="e">
        <f>C_S_Digital[[#This Row],[Código riesgo]]</f>
        <v>#VALUE!</v>
      </c>
      <c r="D42" s="173" t="str">
        <f>C_S_Digital[[#This Row],[Código control]]</f>
        <v/>
      </c>
      <c r="E42" s="157"/>
      <c r="F42" s="16"/>
      <c r="G42" s="157"/>
      <c r="H42" s="16"/>
      <c r="I42" s="16"/>
      <c r="J42" s="16"/>
      <c r="K42" s="16"/>
      <c r="L42" s="14"/>
      <c r="M42" s="14"/>
      <c r="N42" s="15"/>
      <c r="O42" s="17"/>
      <c r="P42" s="18"/>
      <c r="Q42" s="18"/>
      <c r="R42" s="44"/>
      <c r="S42" s="20"/>
      <c r="T42" s="46"/>
    </row>
    <row r="43" spans="1:20" ht="16.5" x14ac:dyDescent="0.25">
      <c r="A43" s="174">
        <f>C_S_Digital[[#This Row],[ID_C]]</f>
        <v>38</v>
      </c>
      <c r="B43" s="139" t="e">
        <f>C_S_Digital[[#This Row],[Proceso]]</f>
        <v>#REF!</v>
      </c>
      <c r="C43" s="140" t="e">
        <f>C_S_Digital[[#This Row],[Código riesgo]]</f>
        <v>#VALUE!</v>
      </c>
      <c r="D43" s="175" t="str">
        <f>C_S_Digital[[#This Row],[Código control]]</f>
        <v/>
      </c>
      <c r="E43" s="158"/>
      <c r="F43" s="24"/>
      <c r="G43" s="158"/>
      <c r="H43" s="24"/>
      <c r="I43" s="24"/>
      <c r="J43" s="24"/>
      <c r="K43" s="24"/>
      <c r="L43" s="22"/>
      <c r="M43" s="22"/>
      <c r="N43" s="23"/>
      <c r="O43" s="25"/>
      <c r="P43" s="26"/>
      <c r="Q43" s="26"/>
      <c r="R43" s="39"/>
      <c r="S43" s="28"/>
      <c r="T43" s="29"/>
    </row>
    <row r="44" spans="1:20" ht="16.5" x14ac:dyDescent="0.25">
      <c r="A44" s="174">
        <f>C_S_Digital[[#This Row],[ID_C]]</f>
        <v>39</v>
      </c>
      <c r="B44" s="139" t="e">
        <f>C_S_Digital[[#This Row],[Proceso]]</f>
        <v>#REF!</v>
      </c>
      <c r="C44" s="140" t="e">
        <f>C_S_Digital[[#This Row],[Código riesgo]]</f>
        <v>#VALUE!</v>
      </c>
      <c r="D44" s="175" t="str">
        <f>C_S_Digital[[#This Row],[Código control]]</f>
        <v/>
      </c>
      <c r="E44" s="158"/>
      <c r="F44" s="24"/>
      <c r="G44" s="158"/>
      <c r="H44" s="24"/>
      <c r="I44" s="24"/>
      <c r="J44" s="24"/>
      <c r="K44" s="24"/>
      <c r="L44" s="22"/>
      <c r="M44" s="22"/>
      <c r="N44" s="23"/>
      <c r="O44" s="25"/>
      <c r="P44" s="26"/>
      <c r="Q44" s="26"/>
      <c r="R44" s="39"/>
      <c r="S44" s="28"/>
      <c r="T44" s="29"/>
    </row>
    <row r="45" spans="1:20" ht="16.5" x14ac:dyDescent="0.25">
      <c r="A45" s="174">
        <f>C_S_Digital[[#This Row],[ID_C]]</f>
        <v>40</v>
      </c>
      <c r="B45" s="139" t="e">
        <f>C_S_Digital[[#This Row],[Proceso]]</f>
        <v>#REF!</v>
      </c>
      <c r="C45" s="140" t="e">
        <f>C_S_Digital[[#This Row],[Código riesgo]]</f>
        <v>#VALUE!</v>
      </c>
      <c r="D45" s="175" t="str">
        <f>C_S_Digital[[#This Row],[Código control]]</f>
        <v/>
      </c>
      <c r="E45" s="158"/>
      <c r="F45" s="24"/>
      <c r="G45" s="158"/>
      <c r="H45" s="24"/>
      <c r="I45" s="24"/>
      <c r="J45" s="24"/>
      <c r="K45" s="24"/>
      <c r="L45" s="22"/>
      <c r="M45" s="22"/>
      <c r="N45" s="23"/>
      <c r="O45" s="25"/>
      <c r="P45" s="26"/>
      <c r="Q45" s="26"/>
      <c r="R45" s="39"/>
      <c r="S45" s="28"/>
      <c r="T45" s="29"/>
    </row>
    <row r="46" spans="1:20" ht="16.5" x14ac:dyDescent="0.25">
      <c r="A46" s="174">
        <f>C_S_Digital[[#This Row],[ID_C]]</f>
        <v>41</v>
      </c>
      <c r="B46" s="139" t="e">
        <f>C_S_Digital[[#This Row],[Proceso]]</f>
        <v>#REF!</v>
      </c>
      <c r="C46" s="140" t="e">
        <f>C_S_Digital[[#This Row],[Código riesgo]]</f>
        <v>#VALUE!</v>
      </c>
      <c r="D46" s="175" t="str">
        <f>C_S_Digital[[#This Row],[Código control]]</f>
        <v/>
      </c>
      <c r="E46" s="158"/>
      <c r="F46" s="24"/>
      <c r="G46" s="158"/>
      <c r="H46" s="24"/>
      <c r="I46" s="24"/>
      <c r="J46" s="24"/>
      <c r="K46" s="24"/>
      <c r="L46" s="22"/>
      <c r="M46" s="22"/>
      <c r="N46" s="23"/>
      <c r="O46" s="25"/>
      <c r="P46" s="26"/>
      <c r="Q46" s="26"/>
      <c r="R46" s="39"/>
      <c r="S46" s="28"/>
      <c r="T46" s="29"/>
    </row>
    <row r="47" spans="1:20" ht="17.25" thickBot="1" x14ac:dyDescent="0.3">
      <c r="A47" s="176">
        <f>C_S_Digital[[#This Row],[ID_C]]</f>
        <v>42</v>
      </c>
      <c r="B47" s="177" t="e">
        <f>C_S_Digital[[#This Row],[Proceso]]</f>
        <v>#REF!</v>
      </c>
      <c r="C47" s="178" t="e">
        <f>C_S_Digital[[#This Row],[Código riesgo]]</f>
        <v>#VALUE!</v>
      </c>
      <c r="D47" s="179" t="str">
        <f>C_S_Digital[[#This Row],[Código control]]</f>
        <v/>
      </c>
      <c r="E47" s="159"/>
      <c r="F47" s="33"/>
      <c r="G47" s="159"/>
      <c r="H47" s="33"/>
      <c r="I47" s="33"/>
      <c r="J47" s="33"/>
      <c r="K47" s="33"/>
      <c r="L47" s="31"/>
      <c r="M47" s="31"/>
      <c r="N47" s="32"/>
      <c r="O47" s="34"/>
      <c r="P47" s="35"/>
      <c r="Q47" s="35"/>
      <c r="R47" s="42"/>
      <c r="S47" s="37"/>
      <c r="T47" s="38"/>
    </row>
    <row r="48" spans="1:20" ht="16.5" x14ac:dyDescent="0.25">
      <c r="A48" s="170">
        <f>C_S_Digital[[#This Row],[ID_C]]</f>
        <v>43</v>
      </c>
      <c r="B48" s="171" t="e">
        <f>C_S_Digital[[#This Row],[Proceso]]</f>
        <v>#REF!</v>
      </c>
      <c r="C48" s="172" t="e">
        <f>C_S_Digital[[#This Row],[Código riesgo]]</f>
        <v>#VALUE!</v>
      </c>
      <c r="D48" s="173" t="str">
        <f>C_S_Digital[[#This Row],[Código control]]</f>
        <v/>
      </c>
      <c r="E48" s="160"/>
      <c r="F48" s="16"/>
      <c r="G48" s="160"/>
      <c r="H48" s="47"/>
      <c r="I48" s="47"/>
      <c r="J48" s="47"/>
      <c r="K48" s="47"/>
      <c r="L48" s="22"/>
      <c r="M48" s="14"/>
      <c r="N48" s="15"/>
      <c r="O48" s="17"/>
      <c r="P48" s="18"/>
      <c r="Q48" s="18"/>
      <c r="R48" s="44"/>
      <c r="S48" s="20"/>
      <c r="T48" s="21"/>
    </row>
    <row r="49" spans="1:20" ht="16.5" x14ac:dyDescent="0.25">
      <c r="A49" s="174">
        <f>C_S_Digital[[#This Row],[ID_C]]</f>
        <v>44</v>
      </c>
      <c r="B49" s="139" t="e">
        <f>C_S_Digital[[#This Row],[Proceso]]</f>
        <v>#REF!</v>
      </c>
      <c r="C49" s="140" t="e">
        <f>C_S_Digital[[#This Row],[Código riesgo]]</f>
        <v>#VALUE!</v>
      </c>
      <c r="D49" s="175" t="str">
        <f>C_S_Digital[[#This Row],[Código control]]</f>
        <v/>
      </c>
      <c r="E49" s="161"/>
      <c r="F49" s="24"/>
      <c r="G49" s="161"/>
      <c r="H49" s="48"/>
      <c r="I49" s="48"/>
      <c r="J49" s="48"/>
      <c r="K49" s="48"/>
      <c r="L49" s="22"/>
      <c r="M49" s="22"/>
      <c r="N49" s="23"/>
      <c r="O49" s="25"/>
      <c r="P49" s="26"/>
      <c r="Q49" s="26"/>
      <c r="R49" s="39"/>
      <c r="S49" s="28"/>
      <c r="T49" s="29"/>
    </row>
    <row r="50" spans="1:20" ht="16.5" x14ac:dyDescent="0.25">
      <c r="A50" s="174">
        <f>C_S_Digital[[#This Row],[ID_C]]</f>
        <v>45</v>
      </c>
      <c r="B50" s="139" t="e">
        <f>C_S_Digital[[#This Row],[Proceso]]</f>
        <v>#REF!</v>
      </c>
      <c r="C50" s="140" t="e">
        <f>C_S_Digital[[#This Row],[Código riesgo]]</f>
        <v>#VALUE!</v>
      </c>
      <c r="D50" s="175" t="str">
        <f>C_S_Digital[[#This Row],[Código control]]</f>
        <v/>
      </c>
      <c r="E50" s="162"/>
      <c r="F50" s="24"/>
      <c r="G50" s="162"/>
      <c r="H50" s="49"/>
      <c r="I50" s="49"/>
      <c r="J50" s="49"/>
      <c r="K50" s="49"/>
      <c r="L50" s="22"/>
      <c r="M50" s="22"/>
      <c r="N50" s="23"/>
      <c r="O50" s="25"/>
      <c r="P50" s="26"/>
      <c r="Q50" s="26"/>
      <c r="R50" s="39"/>
      <c r="S50" s="28"/>
      <c r="T50" s="29"/>
    </row>
    <row r="51" spans="1:20" ht="16.5" x14ac:dyDescent="0.25">
      <c r="A51" s="174">
        <f>C_S_Digital[[#This Row],[ID_C]]</f>
        <v>46</v>
      </c>
      <c r="B51" s="139" t="e">
        <f>C_S_Digital[[#This Row],[Proceso]]</f>
        <v>#REF!</v>
      </c>
      <c r="C51" s="140" t="e">
        <f>C_S_Digital[[#This Row],[Código riesgo]]</f>
        <v>#VALUE!</v>
      </c>
      <c r="D51" s="175" t="str">
        <f>C_S_Digital[[#This Row],[Código control]]</f>
        <v/>
      </c>
      <c r="E51" s="161"/>
      <c r="F51" s="24"/>
      <c r="G51" s="161"/>
      <c r="H51" s="48"/>
      <c r="I51" s="48"/>
      <c r="J51" s="48"/>
      <c r="K51" s="48"/>
      <c r="L51" s="22"/>
      <c r="M51" s="22"/>
      <c r="N51" s="23"/>
      <c r="O51" s="25"/>
      <c r="P51" s="26"/>
      <c r="Q51" s="26"/>
      <c r="R51" s="39"/>
      <c r="S51" s="28"/>
      <c r="T51" s="29"/>
    </row>
    <row r="52" spans="1:20" ht="16.5" x14ac:dyDescent="0.25">
      <c r="A52" s="174">
        <f>C_S_Digital[[#This Row],[ID_C]]</f>
        <v>47</v>
      </c>
      <c r="B52" s="139" t="e">
        <f>C_S_Digital[[#This Row],[Proceso]]</f>
        <v>#REF!</v>
      </c>
      <c r="C52" s="140" t="e">
        <f>C_S_Digital[[#This Row],[Código riesgo]]</f>
        <v>#VALUE!</v>
      </c>
      <c r="D52" s="175" t="str">
        <f>C_S_Digital[[#This Row],[Código control]]</f>
        <v/>
      </c>
      <c r="E52" s="161"/>
      <c r="F52" s="24"/>
      <c r="G52" s="161"/>
      <c r="H52" s="48"/>
      <c r="I52" s="48"/>
      <c r="J52" s="48"/>
      <c r="K52" s="48"/>
      <c r="L52" s="22"/>
      <c r="M52" s="22"/>
      <c r="N52" s="23"/>
      <c r="O52" s="25"/>
      <c r="P52" s="26"/>
      <c r="Q52" s="26"/>
      <c r="R52" s="39"/>
      <c r="S52" s="28"/>
      <c r="T52" s="29"/>
    </row>
    <row r="53" spans="1:20" ht="17.25" thickBot="1" x14ac:dyDescent="0.3">
      <c r="A53" s="176">
        <f>C_S_Digital[[#This Row],[ID_C]]</f>
        <v>48</v>
      </c>
      <c r="B53" s="177" t="e">
        <f>C_S_Digital[[#This Row],[Proceso]]</f>
        <v>#REF!</v>
      </c>
      <c r="C53" s="178" t="e">
        <f>C_S_Digital[[#This Row],[Código riesgo]]</f>
        <v>#VALUE!</v>
      </c>
      <c r="D53" s="179" t="str">
        <f>C_S_Digital[[#This Row],[Código control]]</f>
        <v/>
      </c>
      <c r="E53" s="159"/>
      <c r="F53" s="33"/>
      <c r="G53" s="159"/>
      <c r="H53" s="33"/>
      <c r="I53" s="33"/>
      <c r="J53" s="33"/>
      <c r="K53" s="33"/>
      <c r="L53" s="31"/>
      <c r="M53" s="31"/>
      <c r="N53" s="32"/>
      <c r="O53" s="34"/>
      <c r="P53" s="35"/>
      <c r="Q53" s="35"/>
      <c r="R53" s="42"/>
      <c r="S53" s="37"/>
      <c r="T53" s="38"/>
    </row>
    <row r="54" spans="1:20" ht="16.5" x14ac:dyDescent="0.25">
      <c r="A54" s="170">
        <f>C_S_Digital[[#This Row],[ID_C]]</f>
        <v>49</v>
      </c>
      <c r="B54" s="171" t="e">
        <f>C_S_Digital[[#This Row],[Proceso]]</f>
        <v>#REF!</v>
      </c>
      <c r="C54" s="172" t="e">
        <f>C_S_Digital[[#This Row],[Código riesgo]]</f>
        <v>#VALUE!</v>
      </c>
      <c r="D54" s="173" t="str">
        <f>C_S_Digital[[#This Row],[Código control]]</f>
        <v/>
      </c>
      <c r="E54" s="157"/>
      <c r="F54" s="16"/>
      <c r="G54" s="157"/>
      <c r="H54" s="16"/>
      <c r="I54" s="16"/>
      <c r="J54" s="16"/>
      <c r="K54" s="16"/>
      <c r="L54" s="14"/>
      <c r="M54" s="14"/>
      <c r="N54" s="15"/>
      <c r="O54" s="17"/>
      <c r="P54" s="18"/>
      <c r="Q54" s="18"/>
      <c r="R54" s="44"/>
      <c r="S54" s="20"/>
      <c r="T54" s="21"/>
    </row>
    <row r="55" spans="1:20" ht="16.5" x14ac:dyDescent="0.25">
      <c r="A55" s="174">
        <f>C_S_Digital[[#This Row],[ID_C]]</f>
        <v>50</v>
      </c>
      <c r="B55" s="139" t="e">
        <f>C_S_Digital[[#This Row],[Proceso]]</f>
        <v>#REF!</v>
      </c>
      <c r="C55" s="140" t="e">
        <f>C_S_Digital[[#This Row],[Código riesgo]]</f>
        <v>#VALUE!</v>
      </c>
      <c r="D55" s="175" t="str">
        <f>C_S_Digital[[#This Row],[Código control]]</f>
        <v/>
      </c>
      <c r="E55" s="158"/>
      <c r="F55" s="24"/>
      <c r="G55" s="158"/>
      <c r="H55" s="24"/>
      <c r="I55" s="24"/>
      <c r="J55" s="24"/>
      <c r="K55" s="24"/>
      <c r="L55" s="22"/>
      <c r="M55" s="22"/>
      <c r="N55" s="23"/>
      <c r="O55" s="25"/>
      <c r="P55" s="26"/>
      <c r="Q55" s="26"/>
      <c r="R55" s="39"/>
      <c r="S55" s="28"/>
      <c r="T55" s="29"/>
    </row>
    <row r="56" spans="1:20" ht="16.5" x14ac:dyDescent="0.25">
      <c r="A56" s="174">
        <f>C_S_Digital[[#This Row],[ID_C]]</f>
        <v>51</v>
      </c>
      <c r="B56" s="139" t="e">
        <f>C_S_Digital[[#This Row],[Proceso]]</f>
        <v>#REF!</v>
      </c>
      <c r="C56" s="140" t="e">
        <f>C_S_Digital[[#This Row],[Código riesgo]]</f>
        <v>#VALUE!</v>
      </c>
      <c r="D56" s="175" t="str">
        <f>C_S_Digital[[#This Row],[Código control]]</f>
        <v/>
      </c>
      <c r="E56" s="158"/>
      <c r="F56" s="24"/>
      <c r="G56" s="158"/>
      <c r="H56" s="24"/>
      <c r="I56" s="24"/>
      <c r="J56" s="24"/>
      <c r="K56" s="24"/>
      <c r="L56" s="22"/>
      <c r="M56" s="22"/>
      <c r="N56" s="23"/>
      <c r="O56" s="25"/>
      <c r="P56" s="26"/>
      <c r="Q56" s="26"/>
      <c r="R56" s="39"/>
      <c r="S56" s="28"/>
      <c r="T56" s="29"/>
    </row>
    <row r="57" spans="1:20" ht="16.5" x14ac:dyDescent="0.25">
      <c r="A57" s="174">
        <f>C_S_Digital[[#This Row],[ID_C]]</f>
        <v>52</v>
      </c>
      <c r="B57" s="139" t="e">
        <f>C_S_Digital[[#This Row],[Proceso]]</f>
        <v>#REF!</v>
      </c>
      <c r="C57" s="140" t="e">
        <f>C_S_Digital[[#This Row],[Código riesgo]]</f>
        <v>#VALUE!</v>
      </c>
      <c r="D57" s="175" t="str">
        <f>C_S_Digital[[#This Row],[Código control]]</f>
        <v/>
      </c>
      <c r="E57" s="158"/>
      <c r="F57" s="24"/>
      <c r="G57" s="158"/>
      <c r="H57" s="24"/>
      <c r="I57" s="24"/>
      <c r="J57" s="24"/>
      <c r="K57" s="24"/>
      <c r="L57" s="22"/>
      <c r="M57" s="22"/>
      <c r="N57" s="23"/>
      <c r="O57" s="25"/>
      <c r="P57" s="26"/>
      <c r="Q57" s="26"/>
      <c r="R57" s="39"/>
      <c r="S57" s="28"/>
      <c r="T57" s="29"/>
    </row>
    <row r="58" spans="1:20" ht="16.5" x14ac:dyDescent="0.25">
      <c r="A58" s="174">
        <f>C_S_Digital[[#This Row],[ID_C]]</f>
        <v>53</v>
      </c>
      <c r="B58" s="139" t="e">
        <f>C_S_Digital[[#This Row],[Proceso]]</f>
        <v>#REF!</v>
      </c>
      <c r="C58" s="140" t="e">
        <f>C_S_Digital[[#This Row],[Código riesgo]]</f>
        <v>#VALUE!</v>
      </c>
      <c r="D58" s="175" t="str">
        <f>C_S_Digital[[#This Row],[Código control]]</f>
        <v/>
      </c>
      <c r="E58" s="158"/>
      <c r="F58" s="24"/>
      <c r="G58" s="158"/>
      <c r="H58" s="24"/>
      <c r="I58" s="24"/>
      <c r="J58" s="24"/>
      <c r="K58" s="24"/>
      <c r="L58" s="22"/>
      <c r="M58" s="22"/>
      <c r="N58" s="23"/>
      <c r="O58" s="25"/>
      <c r="P58" s="26"/>
      <c r="Q58" s="26"/>
      <c r="R58" s="39"/>
      <c r="S58" s="28"/>
      <c r="T58" s="29"/>
    </row>
    <row r="59" spans="1:20" ht="17.25" thickBot="1" x14ac:dyDescent="0.3">
      <c r="A59" s="176">
        <f>C_S_Digital[[#This Row],[ID_C]]</f>
        <v>54</v>
      </c>
      <c r="B59" s="177" t="e">
        <f>C_S_Digital[[#This Row],[Proceso]]</f>
        <v>#REF!</v>
      </c>
      <c r="C59" s="178" t="e">
        <f>C_S_Digital[[#This Row],[Código riesgo]]</f>
        <v>#VALUE!</v>
      </c>
      <c r="D59" s="179" t="str">
        <f>C_S_Digital[[#This Row],[Código control]]</f>
        <v/>
      </c>
      <c r="E59" s="159"/>
      <c r="F59" s="33"/>
      <c r="G59" s="159"/>
      <c r="H59" s="33"/>
      <c r="I59" s="33"/>
      <c r="J59" s="33"/>
      <c r="K59" s="33"/>
      <c r="L59" s="31"/>
      <c r="M59" s="31"/>
      <c r="N59" s="32"/>
      <c r="O59" s="34"/>
      <c r="P59" s="35"/>
      <c r="Q59" s="35"/>
      <c r="R59" s="42"/>
      <c r="S59" s="37"/>
      <c r="T59" s="38"/>
    </row>
    <row r="60" spans="1:20" ht="16.5" x14ac:dyDescent="0.25">
      <c r="A60" s="170">
        <f>C_S_Digital[[#This Row],[ID_C]]</f>
        <v>55</v>
      </c>
      <c r="B60" s="171" t="e">
        <f>C_S_Digital[[#This Row],[Proceso]]</f>
        <v>#REF!</v>
      </c>
      <c r="C60" s="172" t="e">
        <f>C_S_Digital[[#This Row],[Código riesgo]]</f>
        <v>#VALUE!</v>
      </c>
      <c r="D60" s="173" t="str">
        <f>C_S_Digital[[#This Row],[Código control]]</f>
        <v/>
      </c>
      <c r="E60" s="30"/>
      <c r="F60" s="16"/>
      <c r="G60" s="30"/>
      <c r="H60" s="22"/>
      <c r="I60" s="22"/>
      <c r="J60" s="22"/>
      <c r="K60" s="22"/>
      <c r="L60" s="14"/>
      <c r="M60" s="14"/>
      <c r="N60" s="15"/>
      <c r="O60" s="17"/>
      <c r="P60" s="18"/>
      <c r="Q60" s="18"/>
      <c r="R60" s="44"/>
      <c r="S60" s="20"/>
      <c r="T60" s="21"/>
    </row>
    <row r="61" spans="1:20" ht="16.5" x14ac:dyDescent="0.25">
      <c r="A61" s="174">
        <f>C_S_Digital[[#This Row],[ID_C]]</f>
        <v>56</v>
      </c>
      <c r="B61" s="139" t="e">
        <f>C_S_Digital[[#This Row],[Proceso]]</f>
        <v>#REF!</v>
      </c>
      <c r="C61" s="140" t="e">
        <f>C_S_Digital[[#This Row],[Código riesgo]]</f>
        <v>#VALUE!</v>
      </c>
      <c r="D61" s="175" t="str">
        <f>C_S_Digital[[#This Row],[Código control]]</f>
        <v/>
      </c>
      <c r="E61" s="30"/>
      <c r="F61" s="24"/>
      <c r="G61" s="30"/>
      <c r="H61" s="22"/>
      <c r="I61" s="22"/>
      <c r="J61" s="22"/>
      <c r="K61" s="22"/>
      <c r="L61" s="22"/>
      <c r="M61" s="22"/>
      <c r="N61" s="23"/>
      <c r="O61" s="25"/>
      <c r="P61" s="26"/>
      <c r="Q61" s="26"/>
      <c r="R61" s="39"/>
      <c r="S61" s="28"/>
      <c r="T61" s="29"/>
    </row>
    <row r="62" spans="1:20" ht="16.5" x14ac:dyDescent="0.25">
      <c r="A62" s="174">
        <f>C_S_Digital[[#This Row],[ID_C]]</f>
        <v>57</v>
      </c>
      <c r="B62" s="139" t="e">
        <f>C_S_Digital[[#This Row],[Proceso]]</f>
        <v>#REF!</v>
      </c>
      <c r="C62" s="140" t="e">
        <f>C_S_Digital[[#This Row],[Código riesgo]]</f>
        <v>#VALUE!</v>
      </c>
      <c r="D62" s="175" t="str">
        <f>C_S_Digital[[#This Row],[Código control]]</f>
        <v/>
      </c>
      <c r="E62" s="30"/>
      <c r="F62" s="24"/>
      <c r="G62" s="30"/>
      <c r="H62" s="22"/>
      <c r="I62" s="22"/>
      <c r="J62" s="22"/>
      <c r="K62" s="22"/>
      <c r="L62" s="22"/>
      <c r="M62" s="22"/>
      <c r="N62" s="23"/>
      <c r="O62" s="25"/>
      <c r="P62" s="26"/>
      <c r="Q62" s="26"/>
      <c r="R62" s="39"/>
      <c r="S62" s="28"/>
      <c r="T62" s="29"/>
    </row>
    <row r="63" spans="1:20" ht="16.5" x14ac:dyDescent="0.25">
      <c r="A63" s="174">
        <f>C_S_Digital[[#This Row],[ID_C]]</f>
        <v>58</v>
      </c>
      <c r="B63" s="139" t="e">
        <f>C_S_Digital[[#This Row],[Proceso]]</f>
        <v>#REF!</v>
      </c>
      <c r="C63" s="140" t="e">
        <f>C_S_Digital[[#This Row],[Código riesgo]]</f>
        <v>#VALUE!</v>
      </c>
      <c r="D63" s="175" t="str">
        <f>C_S_Digital[[#This Row],[Código control]]</f>
        <v/>
      </c>
      <c r="E63" s="158"/>
      <c r="F63" s="24"/>
      <c r="G63" s="158"/>
      <c r="H63" s="24"/>
      <c r="I63" s="24"/>
      <c r="J63" s="24"/>
      <c r="K63" s="24"/>
      <c r="L63" s="22"/>
      <c r="M63" s="22"/>
      <c r="N63" s="23"/>
      <c r="O63" s="25"/>
      <c r="P63" s="26"/>
      <c r="Q63" s="26"/>
      <c r="R63" s="39"/>
      <c r="S63" s="28"/>
      <c r="T63" s="29"/>
    </row>
    <row r="64" spans="1:20" ht="16.5" x14ac:dyDescent="0.25">
      <c r="A64" s="174">
        <f>C_S_Digital[[#This Row],[ID_C]]</f>
        <v>59</v>
      </c>
      <c r="B64" s="139">
        <f>C_S_Digital[[#This Row],[Proceso]]</f>
        <v>0</v>
      </c>
      <c r="C64" s="140" t="e">
        <f>C_S_Digital[[#This Row],[Código riesgo]]</f>
        <v>#VALUE!</v>
      </c>
      <c r="D64" s="175" t="str">
        <f>C_S_Digital[[#This Row],[Código control]]</f>
        <v/>
      </c>
      <c r="E64" s="158"/>
      <c r="F64" s="24"/>
      <c r="G64" s="158"/>
      <c r="H64" s="24"/>
      <c r="I64" s="24"/>
      <c r="J64" s="24"/>
      <c r="K64" s="24"/>
      <c r="L64" s="22"/>
      <c r="M64" s="22"/>
      <c r="N64" s="23"/>
      <c r="O64" s="25"/>
      <c r="P64" s="26"/>
      <c r="Q64" s="26"/>
      <c r="R64" s="39"/>
      <c r="S64" s="28"/>
      <c r="T64" s="29"/>
    </row>
    <row r="65" spans="1:20" ht="17.25" thickBot="1" x14ac:dyDescent="0.3">
      <c r="A65" s="176">
        <f>C_S_Digital[[#This Row],[ID_C]]</f>
        <v>60</v>
      </c>
      <c r="B65" s="177">
        <f>C_S_Digital[[#This Row],[Proceso]]</f>
        <v>0</v>
      </c>
      <c r="C65" s="178" t="e">
        <f>C_S_Digital[[#This Row],[Código riesgo]]</f>
        <v>#VALUE!</v>
      </c>
      <c r="D65" s="179" t="str">
        <f>C_S_Digital[[#This Row],[Código control]]</f>
        <v/>
      </c>
      <c r="E65" s="159"/>
      <c r="F65" s="33"/>
      <c r="G65" s="159"/>
      <c r="H65" s="33"/>
      <c r="I65" s="33"/>
      <c r="J65" s="33"/>
      <c r="K65" s="33"/>
      <c r="L65" s="31"/>
      <c r="M65" s="31"/>
      <c r="N65" s="32"/>
      <c r="O65" s="34"/>
      <c r="P65" s="35"/>
      <c r="Q65" s="35"/>
      <c r="R65" s="42"/>
      <c r="S65" s="37"/>
      <c r="T65" s="38"/>
    </row>
    <row r="66" spans="1:20" ht="16.5" x14ac:dyDescent="0.25">
      <c r="A66" s="170">
        <f>C_S_Digital[[#This Row],[ID_C]]</f>
        <v>61</v>
      </c>
      <c r="B66" s="171">
        <f>C_S_Digital[[#This Row],[Proceso]]</f>
        <v>0</v>
      </c>
      <c r="C66" s="172" t="e">
        <f>C_S_Digital[[#This Row],[Código riesgo]]</f>
        <v>#VALUE!</v>
      </c>
      <c r="D66" s="173" t="str">
        <f>C_S_Digital[[#This Row],[Código control]]</f>
        <v/>
      </c>
      <c r="E66" s="157"/>
      <c r="F66" s="16"/>
      <c r="G66" s="157"/>
      <c r="H66" s="16"/>
      <c r="I66" s="16"/>
      <c r="J66" s="16"/>
      <c r="K66" s="16"/>
      <c r="L66" s="14"/>
      <c r="M66" s="14"/>
      <c r="N66" s="15"/>
      <c r="O66" s="17"/>
      <c r="P66" s="18"/>
      <c r="Q66" s="18"/>
      <c r="R66" s="44"/>
      <c r="S66" s="20"/>
      <c r="T66" s="21"/>
    </row>
    <row r="67" spans="1:20" ht="16.5" x14ac:dyDescent="0.25">
      <c r="A67" s="174">
        <f>C_S_Digital[[#This Row],[ID_C]]</f>
        <v>62</v>
      </c>
      <c r="B67" s="139">
        <f>C_S_Digital[[#This Row],[Proceso]]</f>
        <v>0</v>
      </c>
      <c r="C67" s="140" t="e">
        <f>C_S_Digital[[#This Row],[Código riesgo]]</f>
        <v>#VALUE!</v>
      </c>
      <c r="D67" s="175" t="str">
        <f>C_S_Digital[[#This Row],[Código control]]</f>
        <v/>
      </c>
      <c r="E67" s="163"/>
      <c r="F67" s="24"/>
      <c r="G67" s="163"/>
      <c r="H67" s="50"/>
      <c r="I67" s="50"/>
      <c r="J67" s="50"/>
      <c r="K67" s="50"/>
      <c r="L67" s="83"/>
      <c r="M67" s="22"/>
      <c r="N67" s="23"/>
      <c r="O67" s="25"/>
      <c r="P67" s="26"/>
      <c r="Q67" s="26"/>
      <c r="R67" s="39"/>
      <c r="S67" s="28"/>
      <c r="T67" s="29"/>
    </row>
    <row r="68" spans="1:20" ht="16.5" x14ac:dyDescent="0.25">
      <c r="A68" s="174">
        <f>C_S_Digital[[#This Row],[ID_C]]</f>
        <v>63</v>
      </c>
      <c r="B68" s="139">
        <f>C_S_Digital[[#This Row],[Proceso]]</f>
        <v>0</v>
      </c>
      <c r="C68" s="140" t="e">
        <f>C_S_Digital[[#This Row],[Código riesgo]]</f>
        <v>#VALUE!</v>
      </c>
      <c r="D68" s="175" t="str">
        <f>C_S_Digital[[#This Row],[Código control]]</f>
        <v/>
      </c>
      <c r="E68" s="163"/>
      <c r="F68" s="24"/>
      <c r="G68" s="163"/>
      <c r="H68" s="50"/>
      <c r="I68" s="50"/>
      <c r="J68" s="50"/>
      <c r="K68" s="50"/>
      <c r="L68" s="22"/>
      <c r="M68" s="22"/>
      <c r="N68" s="23"/>
      <c r="O68" s="25"/>
      <c r="P68" s="26"/>
      <c r="Q68" s="26"/>
      <c r="R68" s="51"/>
      <c r="S68" s="28"/>
      <c r="T68" s="29"/>
    </row>
    <row r="69" spans="1:20" ht="16.5" x14ac:dyDescent="0.25">
      <c r="A69" s="174">
        <f>C_S_Digital[[#This Row],[ID_C]]</f>
        <v>64</v>
      </c>
      <c r="B69" s="139">
        <f>C_S_Digital[[#This Row],[Proceso]]</f>
        <v>0</v>
      </c>
      <c r="C69" s="140" t="e">
        <f>C_S_Digital[[#This Row],[Código riesgo]]</f>
        <v>#VALUE!</v>
      </c>
      <c r="D69" s="175" t="str">
        <f>C_S_Digital[[#This Row],[Código control]]</f>
        <v/>
      </c>
      <c r="E69" s="158"/>
      <c r="F69" s="24"/>
      <c r="G69" s="158"/>
      <c r="H69" s="24"/>
      <c r="I69" s="24"/>
      <c r="J69" s="24"/>
      <c r="K69" s="24"/>
      <c r="L69" s="22"/>
      <c r="M69" s="22"/>
      <c r="N69" s="23"/>
      <c r="O69" s="25"/>
      <c r="P69" s="26"/>
      <c r="Q69" s="26"/>
      <c r="R69" s="39"/>
      <c r="S69" s="28"/>
      <c r="T69" s="29"/>
    </row>
    <row r="70" spans="1:20" ht="16.5" x14ac:dyDescent="0.25">
      <c r="A70" s="174">
        <f>C_S_Digital[[#This Row],[ID_C]]</f>
        <v>65</v>
      </c>
      <c r="B70" s="139">
        <f>C_S_Digital[[#This Row],[Proceso]]</f>
        <v>0</v>
      </c>
      <c r="C70" s="140" t="e">
        <f>C_S_Digital[[#This Row],[Código riesgo]]</f>
        <v>#VALUE!</v>
      </c>
      <c r="D70" s="175" t="str">
        <f>C_S_Digital[[#This Row],[Código control]]</f>
        <v/>
      </c>
      <c r="E70" s="163"/>
      <c r="F70" s="24"/>
      <c r="G70" s="163"/>
      <c r="H70" s="50"/>
      <c r="I70" s="50"/>
      <c r="J70" s="50"/>
      <c r="K70" s="50"/>
      <c r="L70" s="24"/>
      <c r="M70" s="22"/>
      <c r="N70" s="23"/>
      <c r="O70" s="25"/>
      <c r="P70" s="52"/>
      <c r="Q70" s="52"/>
      <c r="R70" s="39"/>
      <c r="S70" s="28"/>
      <c r="T70" s="29"/>
    </row>
    <row r="71" spans="1:20" ht="17.25" thickBot="1" x14ac:dyDescent="0.3">
      <c r="A71" s="176">
        <f>C_S_Digital[[#This Row],[ID_C]]</f>
        <v>66</v>
      </c>
      <c r="B71" s="177">
        <f>C_S_Digital[[#This Row],[Proceso]]</f>
        <v>0</v>
      </c>
      <c r="C71" s="178" t="e">
        <f>C_S_Digital[[#This Row],[Código riesgo]]</f>
        <v>#VALUE!</v>
      </c>
      <c r="D71" s="179" t="str">
        <f>C_S_Digital[[#This Row],[Código control]]</f>
        <v/>
      </c>
      <c r="E71" s="159"/>
      <c r="F71" s="33"/>
      <c r="G71" s="159"/>
      <c r="H71" s="33"/>
      <c r="I71" s="33"/>
      <c r="J71" s="33"/>
      <c r="K71" s="33"/>
      <c r="L71" s="31"/>
      <c r="M71" s="31"/>
      <c r="N71" s="32"/>
      <c r="O71" s="34"/>
      <c r="P71" s="35"/>
      <c r="Q71" s="35"/>
      <c r="R71" s="42"/>
      <c r="S71" s="37"/>
      <c r="T71" s="38"/>
    </row>
    <row r="72" spans="1:20" ht="16.5" x14ac:dyDescent="0.25">
      <c r="A72" s="170">
        <f>C_S_Digital[[#This Row],[ID_C]]</f>
        <v>67</v>
      </c>
      <c r="B72" s="171">
        <f>C_S_Digital[[#This Row],[Proceso]]</f>
        <v>0</v>
      </c>
      <c r="C72" s="172" t="e">
        <f>C_S_Digital[[#This Row],[Código riesgo]]</f>
        <v>#VALUE!</v>
      </c>
      <c r="D72" s="173" t="str">
        <f>C_S_Digital[[#This Row],[Código control]]</f>
        <v/>
      </c>
      <c r="E72" s="157"/>
      <c r="F72" s="16"/>
      <c r="G72" s="157"/>
      <c r="H72" s="16"/>
      <c r="I72" s="16"/>
      <c r="J72" s="16"/>
      <c r="K72" s="16"/>
      <c r="L72" s="14"/>
      <c r="M72" s="14"/>
      <c r="N72" s="15"/>
      <c r="O72" s="17"/>
      <c r="P72" s="18"/>
      <c r="Q72" s="18"/>
      <c r="R72" s="44"/>
      <c r="S72" s="20"/>
      <c r="T72" s="21"/>
    </row>
    <row r="73" spans="1:20" ht="16.5" x14ac:dyDescent="0.25">
      <c r="A73" s="174">
        <f>C_S_Digital[[#This Row],[ID_C]]</f>
        <v>68</v>
      </c>
      <c r="B73" s="139">
        <f>C_S_Digital[[#This Row],[Proceso]]</f>
        <v>0</v>
      </c>
      <c r="C73" s="140" t="e">
        <f>C_S_Digital[[#This Row],[Código riesgo]]</f>
        <v>#VALUE!</v>
      </c>
      <c r="D73" s="175" t="str">
        <f>C_S_Digital[[#This Row],[Código control]]</f>
        <v/>
      </c>
      <c r="E73" s="158"/>
      <c r="F73" s="24"/>
      <c r="G73" s="158"/>
      <c r="H73" s="24"/>
      <c r="I73" s="24"/>
      <c r="J73" s="24"/>
      <c r="K73" s="24"/>
      <c r="L73" s="22"/>
      <c r="M73" s="22"/>
      <c r="N73" s="23"/>
      <c r="O73" s="25"/>
      <c r="P73" s="26"/>
      <c r="Q73" s="26"/>
      <c r="R73" s="39"/>
      <c r="S73" s="28"/>
      <c r="T73" s="29"/>
    </row>
    <row r="74" spans="1:20" ht="16.5" x14ac:dyDescent="0.25">
      <c r="A74" s="174">
        <f>C_S_Digital[[#This Row],[ID_C]]</f>
        <v>69</v>
      </c>
      <c r="B74" s="139">
        <f>C_S_Digital[[#This Row],[Proceso]]</f>
        <v>0</v>
      </c>
      <c r="C74" s="140" t="e">
        <f>C_S_Digital[[#This Row],[Código riesgo]]</f>
        <v>#VALUE!</v>
      </c>
      <c r="D74" s="175" t="str">
        <f>C_S_Digital[[#This Row],[Código control]]</f>
        <v/>
      </c>
      <c r="E74" s="158"/>
      <c r="F74" s="24"/>
      <c r="G74" s="158"/>
      <c r="H74" s="24"/>
      <c r="I74" s="24"/>
      <c r="J74" s="24"/>
      <c r="K74" s="24"/>
      <c r="L74" s="22"/>
      <c r="M74" s="22"/>
      <c r="N74" s="23"/>
      <c r="O74" s="25"/>
      <c r="P74" s="26"/>
      <c r="Q74" s="26"/>
      <c r="R74" s="39"/>
      <c r="S74" s="28"/>
      <c r="T74" s="29"/>
    </row>
    <row r="75" spans="1:20" ht="16.5" x14ac:dyDescent="0.25">
      <c r="A75" s="174">
        <f>C_S_Digital[[#This Row],[ID_C]]</f>
        <v>70</v>
      </c>
      <c r="B75" s="139">
        <f>C_S_Digital[[#This Row],[Proceso]]</f>
        <v>0</v>
      </c>
      <c r="C75" s="140" t="e">
        <f>C_S_Digital[[#This Row],[Código riesgo]]</f>
        <v>#VALUE!</v>
      </c>
      <c r="D75" s="175" t="str">
        <f>C_S_Digital[[#This Row],[Código control]]</f>
        <v/>
      </c>
      <c r="E75" s="158"/>
      <c r="F75" s="24"/>
      <c r="G75" s="158"/>
      <c r="H75" s="24"/>
      <c r="I75" s="24"/>
      <c r="J75" s="24"/>
      <c r="K75" s="24"/>
      <c r="L75" s="22"/>
      <c r="M75" s="22"/>
      <c r="N75" s="23"/>
      <c r="O75" s="25"/>
      <c r="P75" s="26"/>
      <c r="Q75" s="26"/>
      <c r="R75" s="39"/>
      <c r="S75" s="28"/>
      <c r="T75" s="29"/>
    </row>
    <row r="76" spans="1:20" ht="16.5" x14ac:dyDescent="0.25">
      <c r="A76" s="174">
        <f>C_S_Digital[[#This Row],[ID_C]]</f>
        <v>71</v>
      </c>
      <c r="B76" s="139">
        <f>C_S_Digital[[#This Row],[Proceso]]</f>
        <v>0</v>
      </c>
      <c r="C76" s="140" t="e">
        <f>C_S_Digital[[#This Row],[Código riesgo]]</f>
        <v>#VALUE!</v>
      </c>
      <c r="D76" s="175" t="str">
        <f>C_S_Digital[[#This Row],[Código control]]</f>
        <v/>
      </c>
      <c r="E76" s="158"/>
      <c r="F76" s="24"/>
      <c r="G76" s="158"/>
      <c r="H76" s="24"/>
      <c r="I76" s="24"/>
      <c r="J76" s="24"/>
      <c r="K76" s="24"/>
      <c r="L76" s="22"/>
      <c r="M76" s="22"/>
      <c r="N76" s="23"/>
      <c r="O76" s="25"/>
      <c r="P76" s="26"/>
      <c r="Q76" s="26"/>
      <c r="R76" s="39"/>
      <c r="S76" s="28"/>
      <c r="T76" s="29"/>
    </row>
    <row r="77" spans="1:20" ht="17.25" thickBot="1" x14ac:dyDescent="0.3">
      <c r="A77" s="176">
        <f>C_S_Digital[[#This Row],[ID_C]]</f>
        <v>72</v>
      </c>
      <c r="B77" s="177">
        <f>C_S_Digital[[#This Row],[Proceso]]</f>
        <v>0</v>
      </c>
      <c r="C77" s="178" t="e">
        <f>C_S_Digital[[#This Row],[Código riesgo]]</f>
        <v>#VALUE!</v>
      </c>
      <c r="D77" s="179" t="str">
        <f>C_S_Digital[[#This Row],[Código control]]</f>
        <v/>
      </c>
      <c r="E77" s="159"/>
      <c r="F77" s="33"/>
      <c r="G77" s="159"/>
      <c r="H77" s="33"/>
      <c r="I77" s="33"/>
      <c r="J77" s="33"/>
      <c r="K77" s="33"/>
      <c r="L77" s="31"/>
      <c r="M77" s="31"/>
      <c r="N77" s="32"/>
      <c r="O77" s="34"/>
      <c r="P77" s="35"/>
      <c r="Q77" s="35"/>
      <c r="R77" s="42"/>
      <c r="S77" s="37"/>
      <c r="T77" s="38"/>
    </row>
    <row r="78" spans="1:20" ht="16.5" x14ac:dyDescent="0.25">
      <c r="A78" s="170">
        <f>C_S_Digital[[#This Row],[ID_C]]</f>
        <v>73</v>
      </c>
      <c r="B78" s="171">
        <f>C_S_Digital[[#This Row],[Proceso]]</f>
        <v>0</v>
      </c>
      <c r="C78" s="172" t="e">
        <f>C_S_Digital[[#This Row],[Código riesgo]]</f>
        <v>#VALUE!</v>
      </c>
      <c r="D78" s="173" t="str">
        <f>C_S_Digital[[#This Row],[Código control]]</f>
        <v/>
      </c>
      <c r="E78" s="157"/>
      <c r="F78" s="16"/>
      <c r="G78" s="157"/>
      <c r="H78" s="16"/>
      <c r="I78" s="16"/>
      <c r="J78" s="16"/>
      <c r="K78" s="16"/>
      <c r="L78" s="14"/>
      <c r="M78" s="14"/>
      <c r="N78" s="15"/>
      <c r="O78" s="17"/>
      <c r="P78" s="18"/>
      <c r="Q78" s="18"/>
      <c r="R78" s="44"/>
      <c r="S78" s="20"/>
      <c r="T78" s="53"/>
    </row>
    <row r="79" spans="1:20" ht="16.5" x14ac:dyDescent="0.25">
      <c r="A79" s="174">
        <f>C_S_Digital[[#This Row],[ID_C]]</f>
        <v>74</v>
      </c>
      <c r="B79" s="139">
        <f>C_S_Digital[[#This Row],[Proceso]]</f>
        <v>0</v>
      </c>
      <c r="C79" s="140" t="e">
        <f>C_S_Digital[[#This Row],[Código riesgo]]</f>
        <v>#VALUE!</v>
      </c>
      <c r="D79" s="175" t="str">
        <f>C_S_Digital[[#This Row],[Código control]]</f>
        <v/>
      </c>
      <c r="E79" s="30"/>
      <c r="F79" s="24"/>
      <c r="G79" s="30"/>
      <c r="H79" s="22"/>
      <c r="I79" s="22"/>
      <c r="J79" s="22"/>
      <c r="K79" s="22"/>
      <c r="L79" s="22"/>
      <c r="M79" s="22"/>
      <c r="N79" s="23"/>
      <c r="O79" s="25"/>
      <c r="P79" s="26"/>
      <c r="Q79" s="26"/>
      <c r="R79" s="39"/>
      <c r="S79" s="28"/>
      <c r="T79" s="29"/>
    </row>
    <row r="80" spans="1:20" ht="16.5" x14ac:dyDescent="0.25">
      <c r="A80" s="174">
        <f>C_S_Digital[[#This Row],[ID_C]]</f>
        <v>75</v>
      </c>
      <c r="B80" s="139">
        <f>C_S_Digital[[#This Row],[Proceso]]</f>
        <v>0</v>
      </c>
      <c r="C80" s="140" t="e">
        <f>C_S_Digital[[#This Row],[Código riesgo]]</f>
        <v>#VALUE!</v>
      </c>
      <c r="D80" s="175" t="str">
        <f>C_S_Digital[[#This Row],[Código control]]</f>
        <v/>
      </c>
      <c r="E80" s="30"/>
      <c r="F80" s="24"/>
      <c r="G80" s="30"/>
      <c r="H80" s="22"/>
      <c r="I80" s="22"/>
      <c r="J80" s="22"/>
      <c r="K80" s="22"/>
      <c r="L80" s="22"/>
      <c r="M80" s="22"/>
      <c r="N80" s="23"/>
      <c r="O80" s="25"/>
      <c r="P80" s="26"/>
      <c r="Q80" s="26"/>
      <c r="R80" s="39"/>
      <c r="S80" s="28"/>
      <c r="T80" s="29"/>
    </row>
    <row r="81" spans="1:20" ht="16.5" x14ac:dyDescent="0.25">
      <c r="A81" s="174">
        <f>C_S_Digital[[#This Row],[ID_C]]</f>
        <v>76</v>
      </c>
      <c r="B81" s="139">
        <f>C_S_Digital[[#This Row],[Proceso]]</f>
        <v>0</v>
      </c>
      <c r="C81" s="140" t="e">
        <f>C_S_Digital[[#This Row],[Código riesgo]]</f>
        <v>#VALUE!</v>
      </c>
      <c r="D81" s="175" t="str">
        <f>C_S_Digital[[#This Row],[Código control]]</f>
        <v/>
      </c>
      <c r="E81" s="158"/>
      <c r="F81" s="24"/>
      <c r="G81" s="158"/>
      <c r="H81" s="24"/>
      <c r="I81" s="24"/>
      <c r="J81" s="24"/>
      <c r="K81" s="24"/>
      <c r="L81" s="22"/>
      <c r="M81" s="22"/>
      <c r="N81" s="23"/>
      <c r="O81" s="25"/>
      <c r="P81" s="26"/>
      <c r="Q81" s="26"/>
      <c r="R81" s="39"/>
      <c r="S81" s="28"/>
      <c r="T81" s="29"/>
    </row>
    <row r="82" spans="1:20" ht="16.5" x14ac:dyDescent="0.25">
      <c r="A82" s="174">
        <f>C_S_Digital[[#This Row],[ID_C]]</f>
        <v>77</v>
      </c>
      <c r="B82" s="139">
        <f>C_S_Digital[[#This Row],[Proceso]]</f>
        <v>0</v>
      </c>
      <c r="C82" s="140" t="e">
        <f>C_S_Digital[[#This Row],[Código riesgo]]</f>
        <v>#VALUE!</v>
      </c>
      <c r="D82" s="175" t="str">
        <f>C_S_Digital[[#This Row],[Código control]]</f>
        <v/>
      </c>
      <c r="E82" s="158"/>
      <c r="F82" s="24"/>
      <c r="G82" s="158"/>
      <c r="H82" s="24"/>
      <c r="I82" s="24"/>
      <c r="J82" s="24"/>
      <c r="K82" s="24"/>
      <c r="L82" s="22"/>
      <c r="M82" s="22"/>
      <c r="N82" s="23"/>
      <c r="O82" s="25"/>
      <c r="P82" s="26"/>
      <c r="Q82" s="26"/>
      <c r="R82" s="39"/>
      <c r="S82" s="28"/>
      <c r="T82" s="29"/>
    </row>
    <row r="83" spans="1:20" ht="17.25" thickBot="1" x14ac:dyDescent="0.3">
      <c r="A83" s="176">
        <f>C_S_Digital[[#This Row],[ID_C]]</f>
        <v>78</v>
      </c>
      <c r="B83" s="177">
        <f>C_S_Digital[[#This Row],[Proceso]]</f>
        <v>0</v>
      </c>
      <c r="C83" s="178" t="e">
        <f>C_S_Digital[[#This Row],[Código riesgo]]</f>
        <v>#VALUE!</v>
      </c>
      <c r="D83" s="179" t="str">
        <f>C_S_Digital[[#This Row],[Código control]]</f>
        <v/>
      </c>
      <c r="E83" s="159"/>
      <c r="F83" s="33"/>
      <c r="G83" s="159"/>
      <c r="H83" s="33"/>
      <c r="I83" s="33"/>
      <c r="J83" s="33"/>
      <c r="K83" s="33"/>
      <c r="L83" s="31"/>
      <c r="M83" s="31"/>
      <c r="N83" s="32"/>
      <c r="O83" s="34"/>
      <c r="P83" s="35"/>
      <c r="Q83" s="35"/>
      <c r="R83" s="42"/>
      <c r="S83" s="37"/>
      <c r="T83" s="38"/>
    </row>
    <row r="84" spans="1:20" ht="16.5" x14ac:dyDescent="0.25">
      <c r="A84" s="170">
        <f>C_S_Digital[[#This Row],[ID_C]]</f>
        <v>79</v>
      </c>
      <c r="B84" s="171">
        <f>C_S_Digital[[#This Row],[Proceso]]</f>
        <v>0</v>
      </c>
      <c r="C84" s="172" t="e">
        <f>C_S_Digital[[#This Row],[Código riesgo]]</f>
        <v>#VALUE!</v>
      </c>
      <c r="D84" s="173" t="str">
        <f>C_S_Digital[[#This Row],[Código control]]</f>
        <v/>
      </c>
      <c r="E84" s="158"/>
      <c r="F84" s="16"/>
      <c r="G84" s="158"/>
      <c r="H84" s="24"/>
      <c r="I84" s="24"/>
      <c r="J84" s="24"/>
      <c r="K84" s="24"/>
      <c r="L84" s="14"/>
      <c r="M84" s="14"/>
      <c r="N84" s="15"/>
      <c r="O84" s="17"/>
      <c r="P84" s="18"/>
      <c r="Q84" s="18"/>
      <c r="R84" s="44"/>
      <c r="S84" s="20"/>
      <c r="T84" s="21"/>
    </row>
    <row r="85" spans="1:20" ht="16.5" x14ac:dyDescent="0.25">
      <c r="A85" s="174">
        <f>C_S_Digital[[#This Row],[ID_C]]</f>
        <v>80</v>
      </c>
      <c r="B85" s="139">
        <f>C_S_Digital[[#This Row],[Proceso]]</f>
        <v>0</v>
      </c>
      <c r="C85" s="140" t="e">
        <f>C_S_Digital[[#This Row],[Código riesgo]]</f>
        <v>#VALUE!</v>
      </c>
      <c r="D85" s="175" t="str">
        <f>C_S_Digital[[#This Row],[Código control]]</f>
        <v/>
      </c>
      <c r="E85" s="158"/>
      <c r="F85" s="24"/>
      <c r="G85" s="158"/>
      <c r="H85" s="24"/>
      <c r="I85" s="24"/>
      <c r="J85" s="24"/>
      <c r="K85" s="24"/>
      <c r="L85" s="22"/>
      <c r="M85" s="22"/>
      <c r="N85" s="23"/>
      <c r="O85" s="25"/>
      <c r="P85" s="26"/>
      <c r="Q85" s="26"/>
      <c r="R85" s="39"/>
      <c r="S85" s="28"/>
      <c r="T85" s="29"/>
    </row>
    <row r="86" spans="1:20" ht="16.5" x14ac:dyDescent="0.25">
      <c r="A86" s="174">
        <f>C_S_Digital[[#This Row],[ID_C]]</f>
        <v>81</v>
      </c>
      <c r="B86" s="139">
        <f>C_S_Digital[[#This Row],[Proceso]]</f>
        <v>0</v>
      </c>
      <c r="C86" s="140" t="e">
        <f>C_S_Digital[[#This Row],[Código riesgo]]</f>
        <v>#VALUE!</v>
      </c>
      <c r="D86" s="175" t="str">
        <f>C_S_Digital[[#This Row],[Código control]]</f>
        <v/>
      </c>
      <c r="E86" s="30"/>
      <c r="F86" s="24"/>
      <c r="G86" s="30"/>
      <c r="H86" s="22"/>
      <c r="I86" s="22"/>
      <c r="J86" s="22"/>
      <c r="K86" s="22"/>
      <c r="L86" s="22"/>
      <c r="M86" s="22"/>
      <c r="N86" s="23"/>
      <c r="O86" s="25"/>
      <c r="P86" s="26"/>
      <c r="Q86" s="26"/>
      <c r="R86" s="39"/>
      <c r="S86" s="28"/>
      <c r="T86" s="29"/>
    </row>
    <row r="87" spans="1:20" ht="16.5" x14ac:dyDescent="0.25">
      <c r="A87" s="174">
        <f>C_S_Digital[[#This Row],[ID_C]]</f>
        <v>82</v>
      </c>
      <c r="B87" s="139">
        <f>C_S_Digital[[#This Row],[Proceso]]</f>
        <v>0</v>
      </c>
      <c r="C87" s="140" t="e">
        <f>C_S_Digital[[#This Row],[Código riesgo]]</f>
        <v>#VALUE!</v>
      </c>
      <c r="D87" s="175" t="str">
        <f>C_S_Digital[[#This Row],[Código control]]</f>
        <v/>
      </c>
      <c r="E87" s="158"/>
      <c r="F87" s="24"/>
      <c r="G87" s="158"/>
      <c r="H87" s="24"/>
      <c r="I87" s="24"/>
      <c r="J87" s="24"/>
      <c r="K87" s="24"/>
      <c r="L87" s="22"/>
      <c r="M87" s="22"/>
      <c r="N87" s="23"/>
      <c r="O87" s="25"/>
      <c r="P87" s="26"/>
      <c r="Q87" s="26"/>
      <c r="R87" s="39"/>
      <c r="S87" s="28"/>
      <c r="T87" s="29"/>
    </row>
    <row r="88" spans="1:20" ht="16.5" x14ac:dyDescent="0.25">
      <c r="A88" s="174">
        <f>C_S_Digital[[#This Row],[ID_C]]</f>
        <v>83</v>
      </c>
      <c r="B88" s="139">
        <f>C_S_Digital[[#This Row],[Proceso]]</f>
        <v>0</v>
      </c>
      <c r="C88" s="140" t="e">
        <f>C_S_Digital[[#This Row],[Código riesgo]]</f>
        <v>#VALUE!</v>
      </c>
      <c r="D88" s="175" t="str">
        <f>C_S_Digital[[#This Row],[Código control]]</f>
        <v/>
      </c>
      <c r="E88" s="158"/>
      <c r="F88" s="24"/>
      <c r="G88" s="158"/>
      <c r="H88" s="24"/>
      <c r="I88" s="24"/>
      <c r="J88" s="24"/>
      <c r="K88" s="24"/>
      <c r="L88" s="22"/>
      <c r="M88" s="22"/>
      <c r="N88" s="23"/>
      <c r="O88" s="25"/>
      <c r="P88" s="26"/>
      <c r="Q88" s="26"/>
      <c r="R88" s="39"/>
      <c r="S88" s="28"/>
      <c r="T88" s="29"/>
    </row>
    <row r="89" spans="1:20" ht="17.25" thickBot="1" x14ac:dyDescent="0.3">
      <c r="A89" s="176">
        <f>C_S_Digital[[#This Row],[ID_C]]</f>
        <v>84</v>
      </c>
      <c r="B89" s="177">
        <f>C_S_Digital[[#This Row],[Proceso]]</f>
        <v>0</v>
      </c>
      <c r="C89" s="178" t="e">
        <f>C_S_Digital[[#This Row],[Código riesgo]]</f>
        <v>#VALUE!</v>
      </c>
      <c r="D89" s="179" t="str">
        <f>C_S_Digital[[#This Row],[Código control]]</f>
        <v/>
      </c>
      <c r="E89" s="159"/>
      <c r="F89" s="33"/>
      <c r="G89" s="159"/>
      <c r="H89" s="33"/>
      <c r="I89" s="33"/>
      <c r="J89" s="33"/>
      <c r="K89" s="33"/>
      <c r="L89" s="31"/>
      <c r="M89" s="31"/>
      <c r="N89" s="32"/>
      <c r="O89" s="34"/>
      <c r="P89" s="35"/>
      <c r="Q89" s="35"/>
      <c r="R89" s="42"/>
      <c r="S89" s="37"/>
      <c r="T89" s="38"/>
    </row>
    <row r="90" spans="1:20" ht="16.5" x14ac:dyDescent="0.25">
      <c r="A90" s="170">
        <f>C_S_Digital[[#This Row],[ID_C]]</f>
        <v>85</v>
      </c>
      <c r="B90" s="171">
        <f>C_S_Digital[[#This Row],[Proceso]]</f>
        <v>0</v>
      </c>
      <c r="C90" s="172" t="e">
        <f>C_S_Digital[[#This Row],[Código riesgo]]</f>
        <v>#VALUE!</v>
      </c>
      <c r="D90" s="173" t="str">
        <f>C_S_Digital[[#This Row],[Código control]]</f>
        <v/>
      </c>
      <c r="E90" s="157"/>
      <c r="F90" s="16"/>
      <c r="G90" s="157"/>
      <c r="H90" s="16"/>
      <c r="I90" s="16"/>
      <c r="J90" s="16"/>
      <c r="K90" s="16"/>
      <c r="L90" s="22"/>
      <c r="M90" s="14"/>
      <c r="N90" s="15"/>
      <c r="O90" s="17"/>
      <c r="P90" s="18"/>
      <c r="Q90" s="18"/>
      <c r="R90" s="44"/>
      <c r="S90" s="20"/>
      <c r="T90" s="21"/>
    </row>
    <row r="91" spans="1:20" ht="16.5" x14ac:dyDescent="0.25">
      <c r="A91" s="174">
        <f>C_S_Digital[[#This Row],[ID_C]]</f>
        <v>86</v>
      </c>
      <c r="B91" s="139">
        <f>C_S_Digital[[#This Row],[Proceso]]</f>
        <v>0</v>
      </c>
      <c r="C91" s="140" t="e">
        <f>C_S_Digital[[#This Row],[Código riesgo]]</f>
        <v>#VALUE!</v>
      </c>
      <c r="D91" s="175" t="str">
        <f>C_S_Digital[[#This Row],[Código control]]</f>
        <v/>
      </c>
      <c r="E91" s="163"/>
      <c r="F91" s="24"/>
      <c r="G91" s="163"/>
      <c r="H91" s="50"/>
      <c r="I91" s="50"/>
      <c r="J91" s="50"/>
      <c r="K91" s="50"/>
      <c r="L91" s="22"/>
      <c r="M91" s="22"/>
      <c r="N91" s="23"/>
      <c r="O91" s="25"/>
      <c r="P91" s="26"/>
      <c r="Q91" s="26"/>
      <c r="R91" s="39"/>
      <c r="S91" s="28"/>
      <c r="T91" s="29"/>
    </row>
    <row r="92" spans="1:20" ht="16.5" x14ac:dyDescent="0.25">
      <c r="A92" s="174">
        <f>C_S_Digital[[#This Row],[ID_C]]</f>
        <v>87</v>
      </c>
      <c r="B92" s="139">
        <f>C_S_Digital[[#This Row],[Proceso]]</f>
        <v>0</v>
      </c>
      <c r="C92" s="140" t="e">
        <f>C_S_Digital[[#This Row],[Código riesgo]]</f>
        <v>#VALUE!</v>
      </c>
      <c r="D92" s="175" t="str">
        <f>C_S_Digital[[#This Row],[Código control]]</f>
        <v/>
      </c>
      <c r="E92" s="163"/>
      <c r="F92" s="24"/>
      <c r="G92" s="163"/>
      <c r="H92" s="50"/>
      <c r="I92" s="50"/>
      <c r="J92" s="50"/>
      <c r="K92" s="50"/>
      <c r="L92" s="22"/>
      <c r="M92" s="22"/>
      <c r="N92" s="23"/>
      <c r="O92" s="25"/>
      <c r="P92" s="26"/>
      <c r="Q92" s="26"/>
      <c r="R92" s="39"/>
      <c r="S92" s="28"/>
      <c r="T92" s="29"/>
    </row>
    <row r="93" spans="1:20" ht="16.5" x14ac:dyDescent="0.25">
      <c r="A93" s="174">
        <f>C_S_Digital[[#This Row],[ID_C]]</f>
        <v>88</v>
      </c>
      <c r="B93" s="139">
        <f>C_S_Digital[[#This Row],[Proceso]]</f>
        <v>0</v>
      </c>
      <c r="C93" s="140" t="e">
        <f>C_S_Digital[[#This Row],[Código riesgo]]</f>
        <v>#VALUE!</v>
      </c>
      <c r="D93" s="175" t="str">
        <f>C_S_Digital[[#This Row],[Código control]]</f>
        <v/>
      </c>
      <c r="E93" s="158"/>
      <c r="F93" s="24"/>
      <c r="G93" s="158"/>
      <c r="H93" s="24"/>
      <c r="I93" s="24"/>
      <c r="J93" s="24"/>
      <c r="K93" s="24"/>
      <c r="L93" s="22"/>
      <c r="M93" s="22"/>
      <c r="N93" s="23"/>
      <c r="O93" s="25"/>
      <c r="P93" s="26"/>
      <c r="Q93" s="26"/>
      <c r="R93" s="39"/>
      <c r="S93" s="28"/>
      <c r="T93" s="29"/>
    </row>
    <row r="94" spans="1:20" ht="16.5" x14ac:dyDescent="0.25">
      <c r="A94" s="174">
        <f>C_S_Digital[[#This Row],[ID_C]]</f>
        <v>89</v>
      </c>
      <c r="B94" s="139">
        <f>C_S_Digital[[#This Row],[Proceso]]</f>
        <v>0</v>
      </c>
      <c r="C94" s="140" t="e">
        <f>C_S_Digital[[#This Row],[Código riesgo]]</f>
        <v>#VALUE!</v>
      </c>
      <c r="D94" s="175" t="str">
        <f>C_S_Digital[[#This Row],[Código control]]</f>
        <v/>
      </c>
      <c r="E94" s="164"/>
      <c r="F94" s="24"/>
      <c r="G94" s="164"/>
      <c r="H94" s="55"/>
      <c r="I94" s="55"/>
      <c r="J94" s="55"/>
      <c r="K94" s="55"/>
      <c r="L94" s="54"/>
      <c r="M94" s="22"/>
      <c r="N94" s="23"/>
      <c r="O94" s="56"/>
      <c r="P94" s="57"/>
      <c r="Q94" s="57"/>
      <c r="R94" s="58"/>
      <c r="S94" s="59"/>
      <c r="T94" s="60"/>
    </row>
    <row r="95" spans="1:20" ht="17.25" thickBot="1" x14ac:dyDescent="0.3">
      <c r="A95" s="176">
        <f>C_S_Digital[[#This Row],[ID_C]]</f>
        <v>90</v>
      </c>
      <c r="B95" s="177">
        <f>C_S_Digital[[#This Row],[Proceso]]</f>
        <v>0</v>
      </c>
      <c r="C95" s="178" t="e">
        <f>C_S_Digital[[#This Row],[Código riesgo]]</f>
        <v>#VALUE!</v>
      </c>
      <c r="D95" s="179" t="str">
        <f>C_S_Digital[[#This Row],[Código control]]</f>
        <v/>
      </c>
      <c r="E95" s="165"/>
      <c r="F95" s="33"/>
      <c r="G95" s="165"/>
      <c r="H95" s="62"/>
      <c r="I95" s="62"/>
      <c r="J95" s="62"/>
      <c r="K95" s="62"/>
      <c r="L95" s="61"/>
      <c r="M95" s="31"/>
      <c r="N95" s="32"/>
      <c r="O95" s="63"/>
      <c r="P95" s="64"/>
      <c r="Q95" s="64"/>
      <c r="R95" s="65"/>
      <c r="S95" s="66"/>
      <c r="T95" s="67"/>
    </row>
    <row r="96" spans="1:20" ht="16.5" x14ac:dyDescent="0.25">
      <c r="A96" s="170">
        <f>C_S_Digital[[#This Row],[ID_C]]</f>
        <v>91</v>
      </c>
      <c r="B96" s="171">
        <f>C_S_Digital[[#This Row],[Proceso]]</f>
        <v>0</v>
      </c>
      <c r="C96" s="172" t="e">
        <f>C_S_Digital[[#This Row],[Código riesgo]]</f>
        <v>#VALUE!</v>
      </c>
      <c r="D96" s="173" t="str">
        <f>C_S_Digital[[#This Row],[Código control]]</f>
        <v/>
      </c>
      <c r="E96" s="166"/>
      <c r="F96" s="16"/>
      <c r="G96" s="166"/>
      <c r="H96" s="69"/>
      <c r="I96" s="69"/>
      <c r="J96" s="69"/>
      <c r="K96" s="69"/>
      <c r="L96" s="68"/>
      <c r="M96" s="14"/>
      <c r="N96" s="15"/>
      <c r="O96" s="70"/>
      <c r="P96" s="71"/>
      <c r="Q96" s="71"/>
      <c r="R96" s="72"/>
      <c r="S96" s="73"/>
      <c r="T96" s="74"/>
    </row>
    <row r="97" spans="1:20" ht="16.5" x14ac:dyDescent="0.25">
      <c r="A97" s="174">
        <f>C_S_Digital[[#This Row],[ID_C]]</f>
        <v>92</v>
      </c>
      <c r="B97" s="139">
        <f>C_S_Digital[[#This Row],[Proceso]]</f>
        <v>0</v>
      </c>
      <c r="C97" s="140" t="e">
        <f>C_S_Digital[[#This Row],[Código riesgo]]</f>
        <v>#VALUE!</v>
      </c>
      <c r="D97" s="175" t="str">
        <f>C_S_Digital[[#This Row],[Código control]]</f>
        <v/>
      </c>
      <c r="E97" s="164"/>
      <c r="F97" s="24"/>
      <c r="G97" s="164"/>
      <c r="H97" s="55"/>
      <c r="I97" s="55"/>
      <c r="J97" s="55"/>
      <c r="K97" s="55"/>
      <c r="L97" s="54"/>
      <c r="M97" s="22"/>
      <c r="N97" s="23"/>
      <c r="O97" s="56"/>
      <c r="P97" s="57"/>
      <c r="Q97" s="57"/>
      <c r="R97" s="58"/>
      <c r="S97" s="59"/>
      <c r="T97" s="60"/>
    </row>
    <row r="98" spans="1:20" ht="16.5" x14ac:dyDescent="0.25">
      <c r="A98" s="174">
        <f>C_S_Digital[[#This Row],[ID_C]]</f>
        <v>93</v>
      </c>
      <c r="B98" s="139">
        <f>C_S_Digital[[#This Row],[Proceso]]</f>
        <v>0</v>
      </c>
      <c r="C98" s="140" t="e">
        <f>C_S_Digital[[#This Row],[Código riesgo]]</f>
        <v>#VALUE!</v>
      </c>
      <c r="D98" s="175" t="str">
        <f>C_S_Digital[[#This Row],[Código control]]</f>
        <v/>
      </c>
      <c r="E98" s="164"/>
      <c r="F98" s="24"/>
      <c r="G98" s="164"/>
      <c r="H98" s="55"/>
      <c r="I98" s="55"/>
      <c r="J98" s="55"/>
      <c r="K98" s="55"/>
      <c r="L98" s="54"/>
      <c r="M98" s="22"/>
      <c r="N98" s="23"/>
      <c r="O98" s="56"/>
      <c r="P98" s="57"/>
      <c r="Q98" s="57"/>
      <c r="R98" s="58"/>
      <c r="S98" s="59"/>
      <c r="T98" s="60"/>
    </row>
    <row r="99" spans="1:20" ht="16.5" x14ac:dyDescent="0.25">
      <c r="A99" s="174">
        <f>C_S_Digital[[#This Row],[ID_C]]</f>
        <v>94</v>
      </c>
      <c r="B99" s="139">
        <f>C_S_Digital[[#This Row],[Proceso]]</f>
        <v>0</v>
      </c>
      <c r="C99" s="140" t="e">
        <f>C_S_Digital[[#This Row],[Código riesgo]]</f>
        <v>#VALUE!</v>
      </c>
      <c r="D99" s="175" t="str">
        <f>C_S_Digital[[#This Row],[Código control]]</f>
        <v/>
      </c>
      <c r="E99" s="164"/>
      <c r="F99" s="24"/>
      <c r="G99" s="164"/>
      <c r="H99" s="55"/>
      <c r="I99" s="55"/>
      <c r="J99" s="55"/>
      <c r="K99" s="55"/>
      <c r="L99" s="54"/>
      <c r="M99" s="22"/>
      <c r="N99" s="23"/>
      <c r="O99" s="56"/>
      <c r="P99" s="57"/>
      <c r="Q99" s="57"/>
      <c r="R99" s="58"/>
      <c r="S99" s="59"/>
      <c r="T99" s="60"/>
    </row>
    <row r="100" spans="1:20" ht="16.5" x14ac:dyDescent="0.25">
      <c r="A100" s="174">
        <f>C_S_Digital[[#This Row],[ID_C]]</f>
        <v>95</v>
      </c>
      <c r="B100" s="139">
        <f>C_S_Digital[[#This Row],[Proceso]]</f>
        <v>0</v>
      </c>
      <c r="C100" s="140" t="e">
        <f>C_S_Digital[[#This Row],[Código riesgo]]</f>
        <v>#VALUE!</v>
      </c>
      <c r="D100" s="175" t="str">
        <f>C_S_Digital[[#This Row],[Código control]]</f>
        <v/>
      </c>
      <c r="E100" s="164"/>
      <c r="F100" s="24"/>
      <c r="G100" s="164"/>
      <c r="H100" s="55"/>
      <c r="I100" s="55"/>
      <c r="J100" s="55"/>
      <c r="K100" s="55"/>
      <c r="L100" s="54"/>
      <c r="M100" s="22"/>
      <c r="N100" s="23"/>
      <c r="O100" s="56"/>
      <c r="P100" s="57"/>
      <c r="Q100" s="57"/>
      <c r="R100" s="58"/>
      <c r="S100" s="59"/>
      <c r="T100" s="60"/>
    </row>
    <row r="101" spans="1:20" ht="17.25" thickBot="1" x14ac:dyDescent="0.3">
      <c r="A101" s="176">
        <f>C_S_Digital[[#This Row],[ID_C]]</f>
        <v>96</v>
      </c>
      <c r="B101" s="177">
        <f>C_S_Digital[[#This Row],[Proceso]]</f>
        <v>0</v>
      </c>
      <c r="C101" s="178" t="e">
        <f>C_S_Digital[[#This Row],[Código riesgo]]</f>
        <v>#VALUE!</v>
      </c>
      <c r="D101" s="179" t="str">
        <f>C_S_Digital[[#This Row],[Código control]]</f>
        <v/>
      </c>
      <c r="E101" s="165"/>
      <c r="F101" s="33"/>
      <c r="G101" s="165"/>
      <c r="H101" s="62"/>
      <c r="I101" s="62"/>
      <c r="J101" s="62"/>
      <c r="K101" s="62"/>
      <c r="L101" s="61"/>
      <c r="M101" s="31"/>
      <c r="N101" s="32"/>
      <c r="O101" s="63"/>
      <c r="P101" s="64"/>
      <c r="Q101" s="64"/>
      <c r="R101" s="65"/>
      <c r="S101" s="66"/>
      <c r="T101" s="67"/>
    </row>
    <row r="102" spans="1:20" ht="16.5" x14ac:dyDescent="0.25">
      <c r="A102" s="170">
        <f>C_S_Digital[[#This Row],[ID_C]]</f>
        <v>97</v>
      </c>
      <c r="B102" s="171">
        <f>C_S_Digital[[#This Row],[Proceso]]</f>
        <v>0</v>
      </c>
      <c r="C102" s="172" t="e">
        <f>C_S_Digital[[#This Row],[Código riesgo]]</f>
        <v>#VALUE!</v>
      </c>
      <c r="D102" s="173" t="str">
        <f>C_S_Digital[[#This Row],[Código control]]</f>
        <v/>
      </c>
      <c r="E102" s="166"/>
      <c r="F102" s="16"/>
      <c r="G102" s="166"/>
      <c r="H102" s="69"/>
      <c r="I102" s="69"/>
      <c r="J102" s="69"/>
      <c r="K102" s="69"/>
      <c r="L102" s="68"/>
      <c r="M102" s="14"/>
      <c r="N102" s="15"/>
      <c r="O102" s="70"/>
      <c r="P102" s="71"/>
      <c r="Q102" s="71"/>
      <c r="R102" s="72"/>
      <c r="S102" s="73"/>
      <c r="T102" s="74"/>
    </row>
    <row r="103" spans="1:20" ht="16.5" x14ac:dyDescent="0.25">
      <c r="A103" s="174">
        <f>C_S_Digital[[#This Row],[ID_C]]</f>
        <v>98</v>
      </c>
      <c r="B103" s="139">
        <f>C_S_Digital[[#This Row],[Proceso]]</f>
        <v>0</v>
      </c>
      <c r="C103" s="140" t="e">
        <f>C_S_Digital[[#This Row],[Código riesgo]]</f>
        <v>#VALUE!</v>
      </c>
      <c r="D103" s="175" t="str">
        <f>C_S_Digital[[#This Row],[Código control]]</f>
        <v/>
      </c>
      <c r="E103" s="164"/>
      <c r="F103" s="24"/>
      <c r="G103" s="164"/>
      <c r="H103" s="55"/>
      <c r="I103" s="55"/>
      <c r="J103" s="55"/>
      <c r="K103" s="55"/>
      <c r="L103" s="54"/>
      <c r="M103" s="22"/>
      <c r="N103" s="23"/>
      <c r="O103" s="56"/>
      <c r="P103" s="57"/>
      <c r="Q103" s="57"/>
      <c r="R103" s="58"/>
      <c r="S103" s="59"/>
      <c r="T103" s="60"/>
    </row>
    <row r="104" spans="1:20" ht="16.5" x14ac:dyDescent="0.25">
      <c r="A104" s="174">
        <f>C_S_Digital[[#This Row],[ID_C]]</f>
        <v>99</v>
      </c>
      <c r="B104" s="139">
        <f>C_S_Digital[[#This Row],[Proceso]]</f>
        <v>0</v>
      </c>
      <c r="C104" s="140" t="e">
        <f>C_S_Digital[[#This Row],[Código riesgo]]</f>
        <v>#VALUE!</v>
      </c>
      <c r="D104" s="175" t="str">
        <f>C_S_Digital[[#This Row],[Código control]]</f>
        <v/>
      </c>
      <c r="E104" s="164"/>
      <c r="F104" s="24"/>
      <c r="G104" s="164"/>
      <c r="H104" s="55"/>
      <c r="I104" s="55"/>
      <c r="J104" s="55"/>
      <c r="K104" s="55"/>
      <c r="L104" s="54"/>
      <c r="M104" s="22"/>
      <c r="N104" s="23"/>
      <c r="O104" s="56"/>
      <c r="P104" s="57"/>
      <c r="Q104" s="57"/>
      <c r="R104" s="58"/>
      <c r="S104" s="59"/>
      <c r="T104" s="60"/>
    </row>
    <row r="105" spans="1:20" ht="16.5" x14ac:dyDescent="0.25">
      <c r="A105" s="174">
        <f>C_S_Digital[[#This Row],[ID_C]]</f>
        <v>100</v>
      </c>
      <c r="B105" s="139">
        <f>C_S_Digital[[#This Row],[Proceso]]</f>
        <v>0</v>
      </c>
      <c r="C105" s="140" t="e">
        <f>C_S_Digital[[#This Row],[Código riesgo]]</f>
        <v>#VALUE!</v>
      </c>
      <c r="D105" s="175" t="str">
        <f>C_S_Digital[[#This Row],[Código control]]</f>
        <v/>
      </c>
      <c r="E105" s="164"/>
      <c r="F105" s="24"/>
      <c r="G105" s="164"/>
      <c r="H105" s="55"/>
      <c r="I105" s="55"/>
      <c r="J105" s="55"/>
      <c r="K105" s="55"/>
      <c r="L105" s="54"/>
      <c r="M105" s="22"/>
      <c r="N105" s="23"/>
      <c r="O105" s="56"/>
      <c r="P105" s="57"/>
      <c r="Q105" s="57"/>
      <c r="R105" s="58"/>
      <c r="S105" s="59"/>
      <c r="T105" s="60"/>
    </row>
    <row r="106" spans="1:20" ht="16.5" x14ac:dyDescent="0.25">
      <c r="A106" s="174">
        <f>C_S_Digital[[#This Row],[ID_C]]</f>
        <v>101</v>
      </c>
      <c r="B106" s="139">
        <f>C_S_Digital[[#This Row],[Proceso]]</f>
        <v>0</v>
      </c>
      <c r="C106" s="140" t="e">
        <f>C_S_Digital[[#This Row],[Código riesgo]]</f>
        <v>#VALUE!</v>
      </c>
      <c r="D106" s="175" t="str">
        <f>C_S_Digital[[#This Row],[Código control]]</f>
        <v/>
      </c>
      <c r="E106" s="164"/>
      <c r="F106" s="24"/>
      <c r="G106" s="164"/>
      <c r="H106" s="55"/>
      <c r="I106" s="55"/>
      <c r="J106" s="55"/>
      <c r="K106" s="55"/>
      <c r="L106" s="54"/>
      <c r="M106" s="22"/>
      <c r="N106" s="23"/>
      <c r="O106" s="56"/>
      <c r="P106" s="57"/>
      <c r="Q106" s="57"/>
      <c r="R106" s="58"/>
      <c r="S106" s="59"/>
      <c r="T106" s="60"/>
    </row>
    <row r="107" spans="1:20" ht="17.25" thickBot="1" x14ac:dyDescent="0.3">
      <c r="A107" s="176">
        <f>C_S_Digital[[#This Row],[ID_C]]</f>
        <v>102</v>
      </c>
      <c r="B107" s="177">
        <f>C_S_Digital[[#This Row],[Proceso]]</f>
        <v>0</v>
      </c>
      <c r="C107" s="178" t="e">
        <f>C_S_Digital[[#This Row],[Código riesgo]]</f>
        <v>#VALUE!</v>
      </c>
      <c r="D107" s="179" t="str">
        <f>C_S_Digital[[#This Row],[Código control]]</f>
        <v/>
      </c>
      <c r="E107" s="165"/>
      <c r="F107" s="33"/>
      <c r="G107" s="165"/>
      <c r="H107" s="62"/>
      <c r="I107" s="62"/>
      <c r="J107" s="62"/>
      <c r="K107" s="62"/>
      <c r="L107" s="61"/>
      <c r="M107" s="31"/>
      <c r="N107" s="32"/>
      <c r="O107" s="63"/>
      <c r="P107" s="64"/>
      <c r="Q107" s="64"/>
      <c r="R107" s="65"/>
      <c r="S107" s="66"/>
      <c r="T107" s="67"/>
    </row>
    <row r="108" spans="1:20" ht="16.5" x14ac:dyDescent="0.25">
      <c r="A108" s="170">
        <f>C_S_Digital[[#This Row],[ID_C]]</f>
        <v>103</v>
      </c>
      <c r="B108" s="171">
        <f>C_S_Digital[[#This Row],[Proceso]]</f>
        <v>0</v>
      </c>
      <c r="C108" s="172" t="e">
        <f>C_S_Digital[[#This Row],[Código riesgo]]</f>
        <v>#VALUE!</v>
      </c>
      <c r="D108" s="173" t="str">
        <f>C_S_Digital[[#This Row],[Código control]]</f>
        <v/>
      </c>
      <c r="E108" s="166"/>
      <c r="F108" s="16"/>
      <c r="G108" s="166"/>
      <c r="H108" s="69"/>
      <c r="I108" s="69"/>
      <c r="J108" s="69"/>
      <c r="K108" s="69"/>
      <c r="L108" s="68"/>
      <c r="M108" s="14"/>
      <c r="N108" s="15"/>
      <c r="O108" s="70"/>
      <c r="P108" s="71"/>
      <c r="Q108" s="71"/>
      <c r="R108" s="72"/>
      <c r="S108" s="73"/>
      <c r="T108" s="74"/>
    </row>
    <row r="109" spans="1:20" ht="16.5" x14ac:dyDescent="0.25">
      <c r="A109" s="174">
        <f>C_S_Digital[[#This Row],[ID_C]]</f>
        <v>104</v>
      </c>
      <c r="B109" s="139">
        <f>C_S_Digital[[#This Row],[Proceso]]</f>
        <v>0</v>
      </c>
      <c r="C109" s="140" t="e">
        <f>C_S_Digital[[#This Row],[Código riesgo]]</f>
        <v>#VALUE!</v>
      </c>
      <c r="D109" s="175" t="str">
        <f>C_S_Digital[[#This Row],[Código control]]</f>
        <v/>
      </c>
      <c r="E109" s="164"/>
      <c r="F109" s="24"/>
      <c r="G109" s="164"/>
      <c r="H109" s="55"/>
      <c r="I109" s="55"/>
      <c r="J109" s="55"/>
      <c r="K109" s="55"/>
      <c r="L109" s="54"/>
      <c r="M109" s="22"/>
      <c r="N109" s="23"/>
      <c r="O109" s="56"/>
      <c r="P109" s="57"/>
      <c r="Q109" s="57"/>
      <c r="R109" s="58"/>
      <c r="S109" s="59"/>
      <c r="T109" s="60"/>
    </row>
    <row r="110" spans="1:20" ht="16.5" x14ac:dyDescent="0.25">
      <c r="A110" s="174">
        <f>C_S_Digital[[#This Row],[ID_C]]</f>
        <v>105</v>
      </c>
      <c r="B110" s="139">
        <f>C_S_Digital[[#This Row],[Proceso]]</f>
        <v>0</v>
      </c>
      <c r="C110" s="140" t="e">
        <f>C_S_Digital[[#This Row],[Código riesgo]]</f>
        <v>#VALUE!</v>
      </c>
      <c r="D110" s="175" t="str">
        <f>C_S_Digital[[#This Row],[Código control]]</f>
        <v/>
      </c>
      <c r="E110" s="164"/>
      <c r="F110" s="24"/>
      <c r="G110" s="164"/>
      <c r="H110" s="55"/>
      <c r="I110" s="55"/>
      <c r="J110" s="55"/>
      <c r="K110" s="55"/>
      <c r="L110" s="54"/>
      <c r="M110" s="22"/>
      <c r="N110" s="23"/>
      <c r="O110" s="56"/>
      <c r="P110" s="57"/>
      <c r="Q110" s="57"/>
      <c r="R110" s="58"/>
      <c r="S110" s="59"/>
      <c r="T110" s="60"/>
    </row>
    <row r="111" spans="1:20" ht="16.5" x14ac:dyDescent="0.25">
      <c r="A111" s="174">
        <f>C_S_Digital[[#This Row],[ID_C]]</f>
        <v>106</v>
      </c>
      <c r="B111" s="139">
        <f>C_S_Digital[[#This Row],[Proceso]]</f>
        <v>0</v>
      </c>
      <c r="C111" s="140" t="e">
        <f>C_S_Digital[[#This Row],[Código riesgo]]</f>
        <v>#VALUE!</v>
      </c>
      <c r="D111" s="175" t="str">
        <f>C_S_Digital[[#This Row],[Código control]]</f>
        <v/>
      </c>
      <c r="E111" s="164"/>
      <c r="F111" s="24"/>
      <c r="G111" s="164"/>
      <c r="H111" s="55"/>
      <c r="I111" s="55"/>
      <c r="J111" s="55"/>
      <c r="K111" s="55"/>
      <c r="L111" s="54"/>
      <c r="M111" s="22"/>
      <c r="N111" s="23"/>
      <c r="O111" s="56"/>
      <c r="P111" s="57"/>
      <c r="Q111" s="57"/>
      <c r="R111" s="58"/>
      <c r="S111" s="59"/>
      <c r="T111" s="60"/>
    </row>
    <row r="112" spans="1:20" ht="16.5" x14ac:dyDescent="0.25">
      <c r="A112" s="174">
        <f>C_S_Digital[[#This Row],[ID_C]]</f>
        <v>107</v>
      </c>
      <c r="B112" s="139">
        <f>C_S_Digital[[#This Row],[Proceso]]</f>
        <v>0</v>
      </c>
      <c r="C112" s="140" t="e">
        <f>C_S_Digital[[#This Row],[Código riesgo]]</f>
        <v>#VALUE!</v>
      </c>
      <c r="D112" s="175" t="str">
        <f>C_S_Digital[[#This Row],[Código control]]</f>
        <v/>
      </c>
      <c r="E112" s="164"/>
      <c r="F112" s="24"/>
      <c r="G112" s="164"/>
      <c r="H112" s="55"/>
      <c r="I112" s="55"/>
      <c r="J112" s="55"/>
      <c r="K112" s="55"/>
      <c r="L112" s="54"/>
      <c r="M112" s="22"/>
      <c r="N112" s="23"/>
      <c r="O112" s="56"/>
      <c r="P112" s="57"/>
      <c r="Q112" s="57"/>
      <c r="R112" s="58"/>
      <c r="S112" s="59"/>
      <c r="T112" s="60"/>
    </row>
    <row r="113" spans="1:20" ht="17.25" thickBot="1" x14ac:dyDescent="0.3">
      <c r="A113" s="176">
        <f>C_S_Digital[[#This Row],[ID_C]]</f>
        <v>108</v>
      </c>
      <c r="B113" s="177">
        <f>C_S_Digital[[#This Row],[Proceso]]</f>
        <v>0</v>
      </c>
      <c r="C113" s="178" t="e">
        <f>C_S_Digital[[#This Row],[Código riesgo]]</f>
        <v>#VALUE!</v>
      </c>
      <c r="D113" s="179" t="str">
        <f>C_S_Digital[[#This Row],[Código control]]</f>
        <v/>
      </c>
      <c r="E113" s="165"/>
      <c r="F113" s="33"/>
      <c r="G113" s="165"/>
      <c r="H113" s="62"/>
      <c r="I113" s="62"/>
      <c r="J113" s="62"/>
      <c r="K113" s="62"/>
      <c r="L113" s="61"/>
      <c r="M113" s="31"/>
      <c r="N113" s="32"/>
      <c r="O113" s="63"/>
      <c r="P113" s="64"/>
      <c r="Q113" s="64"/>
      <c r="R113" s="65"/>
      <c r="S113" s="66"/>
      <c r="T113" s="67"/>
    </row>
    <row r="114" spans="1:20" ht="16.5" x14ac:dyDescent="0.25">
      <c r="A114" s="170">
        <f>C_S_Digital[[#This Row],[ID_C]]</f>
        <v>109</v>
      </c>
      <c r="B114" s="171">
        <f>C_S_Digital[[#This Row],[Proceso]]</f>
        <v>0</v>
      </c>
      <c r="C114" s="172" t="e">
        <f>C_S_Digital[[#This Row],[Código riesgo]]</f>
        <v>#VALUE!</v>
      </c>
      <c r="D114" s="173" t="str">
        <f>C_S_Digital[[#This Row],[Código control]]</f>
        <v/>
      </c>
      <c r="E114" s="166"/>
      <c r="F114" s="16"/>
      <c r="G114" s="166"/>
      <c r="H114" s="69"/>
      <c r="I114" s="69"/>
      <c r="J114" s="69"/>
      <c r="K114" s="69"/>
      <c r="L114" s="68"/>
      <c r="M114" s="14"/>
      <c r="N114" s="15"/>
      <c r="O114" s="70"/>
      <c r="P114" s="71"/>
      <c r="Q114" s="71"/>
      <c r="R114" s="72"/>
      <c r="S114" s="73"/>
      <c r="T114" s="74"/>
    </row>
    <row r="115" spans="1:20" ht="16.5" x14ac:dyDescent="0.25">
      <c r="A115" s="174">
        <f>C_S_Digital[[#This Row],[ID_C]]</f>
        <v>110</v>
      </c>
      <c r="B115" s="139">
        <f>C_S_Digital[[#This Row],[Proceso]]</f>
        <v>0</v>
      </c>
      <c r="C115" s="140" t="e">
        <f>C_S_Digital[[#This Row],[Código riesgo]]</f>
        <v>#VALUE!</v>
      </c>
      <c r="D115" s="175" t="str">
        <f>C_S_Digital[[#This Row],[Código control]]</f>
        <v/>
      </c>
      <c r="E115" s="164"/>
      <c r="F115" s="24"/>
      <c r="G115" s="164"/>
      <c r="H115" s="55"/>
      <c r="I115" s="55"/>
      <c r="J115" s="55"/>
      <c r="K115" s="55"/>
      <c r="L115" s="54"/>
      <c r="M115" s="22"/>
      <c r="N115" s="23"/>
      <c r="O115" s="56"/>
      <c r="P115" s="57"/>
      <c r="Q115" s="57"/>
      <c r="R115" s="58"/>
      <c r="S115" s="59"/>
      <c r="T115" s="60"/>
    </row>
    <row r="116" spans="1:20" ht="16.5" x14ac:dyDescent="0.25">
      <c r="A116" s="174">
        <f>C_S_Digital[[#This Row],[ID_C]]</f>
        <v>111</v>
      </c>
      <c r="B116" s="139">
        <f>C_S_Digital[[#This Row],[Proceso]]</f>
        <v>0</v>
      </c>
      <c r="C116" s="140" t="e">
        <f>C_S_Digital[[#This Row],[Código riesgo]]</f>
        <v>#VALUE!</v>
      </c>
      <c r="D116" s="175" t="str">
        <f>C_S_Digital[[#This Row],[Código control]]</f>
        <v/>
      </c>
      <c r="E116" s="164"/>
      <c r="F116" s="24"/>
      <c r="G116" s="164"/>
      <c r="H116" s="55"/>
      <c r="I116" s="55"/>
      <c r="J116" s="55"/>
      <c r="K116" s="55"/>
      <c r="L116" s="54"/>
      <c r="M116" s="22"/>
      <c r="N116" s="23"/>
      <c r="O116" s="56"/>
      <c r="P116" s="57"/>
      <c r="Q116" s="57"/>
      <c r="R116" s="58"/>
      <c r="S116" s="59"/>
      <c r="T116" s="60"/>
    </row>
    <row r="117" spans="1:20" ht="16.5" x14ac:dyDescent="0.25">
      <c r="A117" s="174">
        <f>C_S_Digital[[#This Row],[ID_C]]</f>
        <v>112</v>
      </c>
      <c r="B117" s="139">
        <f>C_S_Digital[[#This Row],[Proceso]]</f>
        <v>0</v>
      </c>
      <c r="C117" s="140" t="e">
        <f>C_S_Digital[[#This Row],[Código riesgo]]</f>
        <v>#VALUE!</v>
      </c>
      <c r="D117" s="175" t="str">
        <f>C_S_Digital[[#This Row],[Código control]]</f>
        <v/>
      </c>
      <c r="E117" s="164"/>
      <c r="F117" s="24"/>
      <c r="G117" s="164"/>
      <c r="H117" s="55"/>
      <c r="I117" s="55"/>
      <c r="J117" s="55"/>
      <c r="K117" s="55"/>
      <c r="L117" s="54"/>
      <c r="M117" s="22"/>
      <c r="N117" s="23"/>
      <c r="O117" s="56"/>
      <c r="P117" s="57"/>
      <c r="Q117" s="57"/>
      <c r="R117" s="58"/>
      <c r="S117" s="59"/>
      <c r="T117" s="60"/>
    </row>
    <row r="118" spans="1:20" ht="16.5" x14ac:dyDescent="0.25">
      <c r="A118" s="174">
        <f>C_S_Digital[[#This Row],[ID_C]]</f>
        <v>113</v>
      </c>
      <c r="B118" s="139">
        <f>C_S_Digital[[#This Row],[Proceso]]</f>
        <v>0</v>
      </c>
      <c r="C118" s="140" t="e">
        <f>C_S_Digital[[#This Row],[Código riesgo]]</f>
        <v>#VALUE!</v>
      </c>
      <c r="D118" s="175" t="str">
        <f>C_S_Digital[[#This Row],[Código control]]</f>
        <v/>
      </c>
      <c r="E118" s="164"/>
      <c r="F118" s="24"/>
      <c r="G118" s="164"/>
      <c r="H118" s="55"/>
      <c r="I118" s="55"/>
      <c r="J118" s="55"/>
      <c r="K118" s="55"/>
      <c r="L118" s="54"/>
      <c r="M118" s="22"/>
      <c r="N118" s="23"/>
      <c r="O118" s="56"/>
      <c r="P118" s="57"/>
      <c r="Q118" s="57"/>
      <c r="R118" s="58"/>
      <c r="S118" s="59"/>
      <c r="T118" s="60"/>
    </row>
    <row r="119" spans="1:20" ht="17.25" thickBot="1" x14ac:dyDescent="0.3">
      <c r="A119" s="176">
        <f>C_S_Digital[[#This Row],[ID_C]]</f>
        <v>114</v>
      </c>
      <c r="B119" s="177">
        <f>C_S_Digital[[#This Row],[Proceso]]</f>
        <v>0</v>
      </c>
      <c r="C119" s="178" t="e">
        <f>C_S_Digital[[#This Row],[Código riesgo]]</f>
        <v>#VALUE!</v>
      </c>
      <c r="D119" s="179" t="str">
        <f>C_S_Digital[[#This Row],[Código control]]</f>
        <v/>
      </c>
      <c r="E119" s="165"/>
      <c r="F119" s="33"/>
      <c r="G119" s="165"/>
      <c r="H119" s="62"/>
      <c r="I119" s="62"/>
      <c r="J119" s="62"/>
      <c r="K119" s="62"/>
      <c r="L119" s="61"/>
      <c r="M119" s="31"/>
      <c r="N119" s="32"/>
      <c r="O119" s="63"/>
      <c r="P119" s="64"/>
      <c r="Q119" s="64"/>
      <c r="R119" s="65"/>
      <c r="S119" s="66"/>
      <c r="T119" s="67"/>
    </row>
    <row r="120" spans="1:20" ht="16.5" x14ac:dyDescent="0.25">
      <c r="A120" s="170">
        <f>C_S_Digital[[#This Row],[ID_C]]</f>
        <v>115</v>
      </c>
      <c r="B120" s="171">
        <f>C_S_Digital[[#This Row],[Proceso]]</f>
        <v>0</v>
      </c>
      <c r="C120" s="172" t="e">
        <f>C_S_Digital[[#This Row],[Código riesgo]]</f>
        <v>#VALUE!</v>
      </c>
      <c r="D120" s="173" t="str">
        <f>C_S_Digital[[#This Row],[Código control]]</f>
        <v/>
      </c>
      <c r="E120" s="166"/>
      <c r="F120" s="16"/>
      <c r="G120" s="166"/>
      <c r="H120" s="69"/>
      <c r="I120" s="69"/>
      <c r="J120" s="69"/>
      <c r="K120" s="69"/>
      <c r="L120" s="68"/>
      <c r="M120" s="14"/>
      <c r="N120" s="15"/>
      <c r="O120" s="70"/>
      <c r="P120" s="71"/>
      <c r="Q120" s="71"/>
      <c r="R120" s="72"/>
      <c r="S120" s="73"/>
      <c r="T120" s="74"/>
    </row>
    <row r="121" spans="1:20" ht="16.5" x14ac:dyDescent="0.25">
      <c r="A121" s="174">
        <f>C_S_Digital[[#This Row],[ID_C]]</f>
        <v>116</v>
      </c>
      <c r="B121" s="139">
        <f>C_S_Digital[[#This Row],[Proceso]]</f>
        <v>0</v>
      </c>
      <c r="C121" s="140" t="e">
        <f>C_S_Digital[[#This Row],[Código riesgo]]</f>
        <v>#VALUE!</v>
      </c>
      <c r="D121" s="175" t="str">
        <f>C_S_Digital[[#This Row],[Código control]]</f>
        <v/>
      </c>
      <c r="E121" s="164"/>
      <c r="F121" s="24"/>
      <c r="G121" s="164"/>
      <c r="H121" s="55"/>
      <c r="I121" s="55"/>
      <c r="J121" s="55"/>
      <c r="K121" s="55"/>
      <c r="L121" s="54"/>
      <c r="M121" s="22"/>
      <c r="N121" s="23"/>
      <c r="O121" s="56"/>
      <c r="P121" s="57"/>
      <c r="Q121" s="57"/>
      <c r="R121" s="58"/>
      <c r="S121" s="59"/>
      <c r="T121" s="60"/>
    </row>
    <row r="122" spans="1:20" ht="16.5" x14ac:dyDescent="0.25">
      <c r="A122" s="174">
        <f>C_S_Digital[[#This Row],[ID_C]]</f>
        <v>117</v>
      </c>
      <c r="B122" s="139">
        <f>C_S_Digital[[#This Row],[Proceso]]</f>
        <v>0</v>
      </c>
      <c r="C122" s="140" t="e">
        <f>C_S_Digital[[#This Row],[Código riesgo]]</f>
        <v>#VALUE!</v>
      </c>
      <c r="D122" s="175" t="str">
        <f>C_S_Digital[[#This Row],[Código control]]</f>
        <v/>
      </c>
      <c r="E122" s="164"/>
      <c r="F122" s="24"/>
      <c r="G122" s="164"/>
      <c r="H122" s="55"/>
      <c r="I122" s="55"/>
      <c r="J122" s="55"/>
      <c r="K122" s="55"/>
      <c r="L122" s="54"/>
      <c r="M122" s="22"/>
      <c r="N122" s="23"/>
      <c r="O122" s="56"/>
      <c r="P122" s="57"/>
      <c r="Q122" s="57"/>
      <c r="R122" s="58"/>
      <c r="S122" s="59"/>
      <c r="T122" s="60"/>
    </row>
    <row r="123" spans="1:20" ht="16.5" x14ac:dyDescent="0.25">
      <c r="A123" s="174">
        <f>C_S_Digital[[#This Row],[ID_C]]</f>
        <v>118</v>
      </c>
      <c r="B123" s="139">
        <f>C_S_Digital[[#This Row],[Proceso]]</f>
        <v>0</v>
      </c>
      <c r="C123" s="140" t="e">
        <f>C_S_Digital[[#This Row],[Código riesgo]]</f>
        <v>#VALUE!</v>
      </c>
      <c r="D123" s="175" t="str">
        <f>C_S_Digital[[#This Row],[Código control]]</f>
        <v/>
      </c>
      <c r="E123" s="164"/>
      <c r="F123" s="24"/>
      <c r="G123" s="164"/>
      <c r="H123" s="55"/>
      <c r="I123" s="55"/>
      <c r="J123" s="55"/>
      <c r="K123" s="55"/>
      <c r="L123" s="54"/>
      <c r="M123" s="22"/>
      <c r="N123" s="23"/>
      <c r="O123" s="56"/>
      <c r="P123" s="57"/>
      <c r="Q123" s="57"/>
      <c r="R123" s="58"/>
      <c r="S123" s="59"/>
      <c r="T123" s="60"/>
    </row>
    <row r="124" spans="1:20" ht="16.5" x14ac:dyDescent="0.25">
      <c r="A124" s="174">
        <f>C_S_Digital[[#This Row],[ID_C]]</f>
        <v>119</v>
      </c>
      <c r="B124" s="139">
        <f>C_S_Digital[[#This Row],[Proceso]]</f>
        <v>0</v>
      </c>
      <c r="C124" s="140" t="e">
        <f>C_S_Digital[[#This Row],[Código riesgo]]</f>
        <v>#VALUE!</v>
      </c>
      <c r="D124" s="175" t="str">
        <f>C_S_Digital[[#This Row],[Código control]]</f>
        <v/>
      </c>
      <c r="E124" s="164"/>
      <c r="F124" s="24"/>
      <c r="G124" s="164"/>
      <c r="H124" s="55"/>
      <c r="I124" s="55"/>
      <c r="J124" s="55"/>
      <c r="K124" s="55"/>
      <c r="L124" s="54"/>
      <c r="M124" s="22"/>
      <c r="N124" s="23"/>
      <c r="O124" s="56"/>
      <c r="P124" s="57"/>
      <c r="Q124" s="57"/>
      <c r="R124" s="58"/>
      <c r="S124" s="59"/>
      <c r="T124" s="60"/>
    </row>
    <row r="125" spans="1:20" ht="17.25" thickBot="1" x14ac:dyDescent="0.3">
      <c r="A125" s="176">
        <f>C_S_Digital[[#This Row],[ID_C]]</f>
        <v>120</v>
      </c>
      <c r="B125" s="177">
        <f>C_S_Digital[[#This Row],[Proceso]]</f>
        <v>0</v>
      </c>
      <c r="C125" s="178" t="e">
        <f>C_S_Digital[[#This Row],[Código riesgo]]</f>
        <v>#VALUE!</v>
      </c>
      <c r="D125" s="179" t="str">
        <f>C_S_Digital[[#This Row],[Código control]]</f>
        <v/>
      </c>
      <c r="E125" s="165"/>
      <c r="F125" s="33"/>
      <c r="G125" s="165"/>
      <c r="H125" s="62"/>
      <c r="I125" s="62"/>
      <c r="J125" s="62"/>
      <c r="K125" s="62"/>
      <c r="L125" s="61"/>
      <c r="M125" s="31"/>
      <c r="N125" s="32"/>
      <c r="O125" s="63"/>
      <c r="P125" s="64"/>
      <c r="Q125" s="64"/>
      <c r="R125" s="65"/>
      <c r="S125" s="66"/>
      <c r="T125" s="67"/>
    </row>
    <row r="126" spans="1:20" ht="16.5" x14ac:dyDescent="0.25">
      <c r="A126" s="170">
        <f>C_S_Digital[[#This Row],[ID_C]]</f>
        <v>121</v>
      </c>
      <c r="B126" s="171">
        <f>C_S_Digital[[#This Row],[Proceso]]</f>
        <v>0</v>
      </c>
      <c r="C126" s="172" t="e">
        <f>C_S_Digital[[#This Row],[Código riesgo]]</f>
        <v>#VALUE!</v>
      </c>
      <c r="D126" s="173" t="str">
        <f>C_S_Digital[[#This Row],[Código control]]</f>
        <v/>
      </c>
      <c r="E126" s="166"/>
      <c r="F126" s="16"/>
      <c r="G126" s="166"/>
      <c r="H126" s="69"/>
      <c r="I126" s="69"/>
      <c r="J126" s="69"/>
      <c r="K126" s="69"/>
      <c r="L126" s="68"/>
      <c r="M126" s="14"/>
      <c r="N126" s="15"/>
      <c r="O126" s="70"/>
      <c r="P126" s="71"/>
      <c r="Q126" s="71"/>
      <c r="R126" s="72"/>
      <c r="S126" s="73"/>
      <c r="T126" s="74"/>
    </row>
    <row r="127" spans="1:20" ht="16.5" x14ac:dyDescent="0.25">
      <c r="A127" s="174">
        <f>C_S_Digital[[#This Row],[ID_C]]</f>
        <v>122</v>
      </c>
      <c r="B127" s="139">
        <f>C_S_Digital[[#This Row],[Proceso]]</f>
        <v>0</v>
      </c>
      <c r="C127" s="140" t="e">
        <f>C_S_Digital[[#This Row],[Código riesgo]]</f>
        <v>#VALUE!</v>
      </c>
      <c r="D127" s="175" t="str">
        <f>C_S_Digital[[#This Row],[Código control]]</f>
        <v/>
      </c>
      <c r="E127" s="164"/>
      <c r="F127" s="24"/>
      <c r="G127" s="164"/>
      <c r="H127" s="55"/>
      <c r="I127" s="55"/>
      <c r="J127" s="55"/>
      <c r="K127" s="55"/>
      <c r="L127" s="54"/>
      <c r="M127" s="22"/>
      <c r="N127" s="23"/>
      <c r="O127" s="56"/>
      <c r="P127" s="57"/>
      <c r="Q127" s="57"/>
      <c r="R127" s="58"/>
      <c r="S127" s="59"/>
      <c r="T127" s="60"/>
    </row>
    <row r="128" spans="1:20" ht="16.5" x14ac:dyDescent="0.25">
      <c r="A128" s="174">
        <f>C_S_Digital[[#This Row],[ID_C]]</f>
        <v>123</v>
      </c>
      <c r="B128" s="139">
        <f>C_S_Digital[[#This Row],[Proceso]]</f>
        <v>0</v>
      </c>
      <c r="C128" s="140" t="e">
        <f>C_S_Digital[[#This Row],[Código riesgo]]</f>
        <v>#VALUE!</v>
      </c>
      <c r="D128" s="175" t="str">
        <f>C_S_Digital[[#This Row],[Código control]]</f>
        <v/>
      </c>
      <c r="E128" s="164"/>
      <c r="F128" s="24"/>
      <c r="G128" s="164"/>
      <c r="H128" s="55"/>
      <c r="I128" s="55"/>
      <c r="J128" s="55"/>
      <c r="K128" s="55"/>
      <c r="L128" s="54"/>
      <c r="M128" s="22"/>
      <c r="N128" s="23"/>
      <c r="O128" s="56"/>
      <c r="P128" s="57"/>
      <c r="Q128" s="57"/>
      <c r="R128" s="58"/>
      <c r="S128" s="59"/>
      <c r="T128" s="60"/>
    </row>
    <row r="129" spans="1:20" ht="16.5" x14ac:dyDescent="0.25">
      <c r="A129" s="174">
        <f>C_S_Digital[[#This Row],[ID_C]]</f>
        <v>124</v>
      </c>
      <c r="B129" s="139">
        <f>C_S_Digital[[#This Row],[Proceso]]</f>
        <v>0</v>
      </c>
      <c r="C129" s="140" t="e">
        <f>C_S_Digital[[#This Row],[Código riesgo]]</f>
        <v>#VALUE!</v>
      </c>
      <c r="D129" s="175" t="str">
        <f>C_S_Digital[[#This Row],[Código control]]</f>
        <v/>
      </c>
      <c r="E129" s="164"/>
      <c r="F129" s="24"/>
      <c r="G129" s="164"/>
      <c r="H129" s="55"/>
      <c r="I129" s="55"/>
      <c r="J129" s="55"/>
      <c r="K129" s="55"/>
      <c r="L129" s="54"/>
      <c r="M129" s="22"/>
      <c r="N129" s="23"/>
      <c r="O129" s="56"/>
      <c r="P129" s="57"/>
      <c r="Q129" s="57"/>
      <c r="R129" s="58"/>
      <c r="S129" s="59"/>
      <c r="T129" s="60"/>
    </row>
    <row r="130" spans="1:20" ht="16.5" x14ac:dyDescent="0.25">
      <c r="A130" s="174">
        <f>C_S_Digital[[#This Row],[ID_C]]</f>
        <v>125</v>
      </c>
      <c r="B130" s="139">
        <f>C_S_Digital[[#This Row],[Proceso]]</f>
        <v>0</v>
      </c>
      <c r="C130" s="140" t="e">
        <f>C_S_Digital[[#This Row],[Código riesgo]]</f>
        <v>#VALUE!</v>
      </c>
      <c r="D130" s="175" t="str">
        <f>C_S_Digital[[#This Row],[Código control]]</f>
        <v/>
      </c>
      <c r="E130" s="164"/>
      <c r="F130" s="24"/>
      <c r="G130" s="164"/>
      <c r="H130" s="55"/>
      <c r="I130" s="55"/>
      <c r="J130" s="55"/>
      <c r="K130" s="55"/>
      <c r="L130" s="54"/>
      <c r="M130" s="22"/>
      <c r="N130" s="23"/>
      <c r="O130" s="56"/>
      <c r="P130" s="57"/>
      <c r="Q130" s="57"/>
      <c r="R130" s="58"/>
      <c r="S130" s="59"/>
      <c r="T130" s="60"/>
    </row>
    <row r="131" spans="1:20" ht="17.25" thickBot="1" x14ac:dyDescent="0.3">
      <c r="A131" s="176">
        <f>C_S_Digital[[#This Row],[ID_C]]</f>
        <v>126</v>
      </c>
      <c r="B131" s="177">
        <f>C_S_Digital[[#This Row],[Proceso]]</f>
        <v>0</v>
      </c>
      <c r="C131" s="178" t="e">
        <f>C_S_Digital[[#This Row],[Código riesgo]]</f>
        <v>#VALUE!</v>
      </c>
      <c r="D131" s="179" t="str">
        <f>C_S_Digital[[#This Row],[Código control]]</f>
        <v/>
      </c>
      <c r="E131" s="165"/>
      <c r="F131" s="33"/>
      <c r="G131" s="165"/>
      <c r="H131" s="62"/>
      <c r="I131" s="62"/>
      <c r="J131" s="62"/>
      <c r="K131" s="62"/>
      <c r="L131" s="61"/>
      <c r="M131" s="31"/>
      <c r="N131" s="32"/>
      <c r="O131" s="63"/>
      <c r="P131" s="64"/>
      <c r="Q131" s="64"/>
      <c r="R131" s="65"/>
      <c r="S131" s="66"/>
      <c r="T131" s="67"/>
    </row>
    <row r="132" spans="1:20" ht="16.5" x14ac:dyDescent="0.25">
      <c r="A132" s="170">
        <f>C_S_Digital[[#This Row],[ID_C]]</f>
        <v>127</v>
      </c>
      <c r="B132" s="171">
        <f>C_S_Digital[[#This Row],[Proceso]]</f>
        <v>0</v>
      </c>
      <c r="C132" s="172" t="e">
        <f>C_S_Digital[[#This Row],[Código riesgo]]</f>
        <v>#VALUE!</v>
      </c>
      <c r="D132" s="173" t="str">
        <f>C_S_Digital[[#This Row],[Código control]]</f>
        <v/>
      </c>
      <c r="E132" s="166"/>
      <c r="F132" s="16"/>
      <c r="G132" s="166"/>
      <c r="H132" s="69"/>
      <c r="I132" s="69"/>
      <c r="J132" s="69"/>
      <c r="K132" s="69"/>
      <c r="L132" s="68"/>
      <c r="M132" s="14"/>
      <c r="N132" s="15"/>
      <c r="O132" s="70"/>
      <c r="P132" s="71"/>
      <c r="Q132" s="71"/>
      <c r="R132" s="72"/>
      <c r="S132" s="73"/>
      <c r="T132" s="74"/>
    </row>
    <row r="133" spans="1:20" ht="16.5" x14ac:dyDescent="0.25">
      <c r="A133" s="174">
        <f>C_S_Digital[[#This Row],[ID_C]]</f>
        <v>128</v>
      </c>
      <c r="B133" s="139">
        <f>C_S_Digital[[#This Row],[Proceso]]</f>
        <v>0</v>
      </c>
      <c r="C133" s="140" t="e">
        <f>C_S_Digital[[#This Row],[Código riesgo]]</f>
        <v>#VALUE!</v>
      </c>
      <c r="D133" s="175" t="str">
        <f>C_S_Digital[[#This Row],[Código control]]</f>
        <v/>
      </c>
      <c r="E133" s="164"/>
      <c r="F133" s="24"/>
      <c r="G133" s="164"/>
      <c r="H133" s="55"/>
      <c r="I133" s="55"/>
      <c r="J133" s="55"/>
      <c r="K133" s="55"/>
      <c r="L133" s="54"/>
      <c r="M133" s="22"/>
      <c r="N133" s="23"/>
      <c r="O133" s="56"/>
      <c r="P133" s="57"/>
      <c r="Q133" s="57"/>
      <c r="R133" s="58"/>
      <c r="S133" s="59"/>
      <c r="T133" s="60"/>
    </row>
    <row r="134" spans="1:20" ht="16.5" x14ac:dyDescent="0.25">
      <c r="A134" s="174">
        <f>C_S_Digital[[#This Row],[ID_C]]</f>
        <v>129</v>
      </c>
      <c r="B134" s="139">
        <f>C_S_Digital[[#This Row],[Proceso]]</f>
        <v>0</v>
      </c>
      <c r="C134" s="140" t="e">
        <f>C_S_Digital[[#This Row],[Código riesgo]]</f>
        <v>#VALUE!</v>
      </c>
      <c r="D134" s="175" t="str">
        <f>C_S_Digital[[#This Row],[Código control]]</f>
        <v/>
      </c>
      <c r="E134" s="164"/>
      <c r="F134" s="24"/>
      <c r="G134" s="164"/>
      <c r="H134" s="55"/>
      <c r="I134" s="55"/>
      <c r="J134" s="55"/>
      <c r="K134" s="55"/>
      <c r="L134" s="54"/>
      <c r="M134" s="22"/>
      <c r="N134" s="23"/>
      <c r="O134" s="56"/>
      <c r="P134" s="57"/>
      <c r="Q134" s="57"/>
      <c r="R134" s="58"/>
      <c r="S134" s="59"/>
      <c r="T134" s="60"/>
    </row>
    <row r="135" spans="1:20" ht="16.5" x14ac:dyDescent="0.25">
      <c r="A135" s="174">
        <f>C_S_Digital[[#This Row],[ID_C]]</f>
        <v>130</v>
      </c>
      <c r="B135" s="139">
        <f>C_S_Digital[[#This Row],[Proceso]]</f>
        <v>0</v>
      </c>
      <c r="C135" s="140" t="e">
        <f>C_S_Digital[[#This Row],[Código riesgo]]</f>
        <v>#VALUE!</v>
      </c>
      <c r="D135" s="175" t="str">
        <f>C_S_Digital[[#This Row],[Código control]]</f>
        <v/>
      </c>
      <c r="E135" s="164"/>
      <c r="F135" s="24"/>
      <c r="G135" s="164"/>
      <c r="H135" s="55"/>
      <c r="I135" s="55"/>
      <c r="J135" s="55"/>
      <c r="K135" s="55"/>
      <c r="L135" s="54"/>
      <c r="M135" s="22"/>
      <c r="N135" s="23"/>
      <c r="O135" s="56"/>
      <c r="P135" s="57"/>
      <c r="Q135" s="57"/>
      <c r="R135" s="58"/>
      <c r="S135" s="59"/>
      <c r="T135" s="60"/>
    </row>
    <row r="136" spans="1:20" ht="16.5" x14ac:dyDescent="0.25">
      <c r="A136" s="174">
        <f>C_S_Digital[[#This Row],[ID_C]]</f>
        <v>131</v>
      </c>
      <c r="B136" s="139">
        <f>C_S_Digital[[#This Row],[Proceso]]</f>
        <v>0</v>
      </c>
      <c r="C136" s="140" t="e">
        <f>C_S_Digital[[#This Row],[Código riesgo]]</f>
        <v>#VALUE!</v>
      </c>
      <c r="D136" s="175" t="str">
        <f>C_S_Digital[[#This Row],[Código control]]</f>
        <v/>
      </c>
      <c r="E136" s="164"/>
      <c r="F136" s="24"/>
      <c r="G136" s="164"/>
      <c r="H136" s="55"/>
      <c r="I136" s="55"/>
      <c r="J136" s="55"/>
      <c r="K136" s="55"/>
      <c r="L136" s="54"/>
      <c r="M136" s="22"/>
      <c r="N136" s="23"/>
      <c r="O136" s="56"/>
      <c r="P136" s="57"/>
      <c r="Q136" s="57"/>
      <c r="R136" s="58"/>
      <c r="S136" s="59"/>
      <c r="T136" s="60"/>
    </row>
    <row r="137" spans="1:20" ht="17.25" thickBot="1" x14ac:dyDescent="0.3">
      <c r="A137" s="176">
        <f>C_S_Digital[[#This Row],[ID_C]]</f>
        <v>132</v>
      </c>
      <c r="B137" s="177">
        <f>C_S_Digital[[#This Row],[Proceso]]</f>
        <v>0</v>
      </c>
      <c r="C137" s="178" t="e">
        <f>C_S_Digital[[#This Row],[Código riesgo]]</f>
        <v>#VALUE!</v>
      </c>
      <c r="D137" s="179" t="str">
        <f>C_S_Digital[[#This Row],[Código control]]</f>
        <v/>
      </c>
      <c r="E137" s="165"/>
      <c r="F137" s="33"/>
      <c r="G137" s="165"/>
      <c r="H137" s="62"/>
      <c r="I137" s="62"/>
      <c r="J137" s="62"/>
      <c r="K137" s="62"/>
      <c r="L137" s="61"/>
      <c r="M137" s="31"/>
      <c r="N137" s="32"/>
      <c r="O137" s="63"/>
      <c r="P137" s="64"/>
      <c r="Q137" s="64"/>
      <c r="R137" s="65"/>
      <c r="S137" s="66"/>
      <c r="T137" s="67"/>
    </row>
    <row r="138" spans="1:20" ht="16.5" x14ac:dyDescent="0.25">
      <c r="A138" s="170">
        <f>C_S_Digital[[#This Row],[ID_C]]</f>
        <v>133</v>
      </c>
      <c r="B138" s="171">
        <f>C_S_Digital[[#This Row],[Proceso]]</f>
        <v>0</v>
      </c>
      <c r="C138" s="172" t="e">
        <f>C_S_Digital[[#This Row],[Código riesgo]]</f>
        <v>#VALUE!</v>
      </c>
      <c r="D138" s="173" t="str">
        <f>C_S_Digital[[#This Row],[Código control]]</f>
        <v/>
      </c>
      <c r="E138" s="166"/>
      <c r="F138" s="16"/>
      <c r="G138" s="166"/>
      <c r="H138" s="69"/>
      <c r="I138" s="69"/>
      <c r="J138" s="69"/>
      <c r="K138" s="69"/>
      <c r="L138" s="68"/>
      <c r="M138" s="14"/>
      <c r="N138" s="15"/>
      <c r="O138" s="70"/>
      <c r="P138" s="71"/>
      <c r="Q138" s="71"/>
      <c r="R138" s="72"/>
      <c r="S138" s="73"/>
      <c r="T138" s="74"/>
    </row>
    <row r="139" spans="1:20" ht="16.5" x14ac:dyDescent="0.25">
      <c r="A139" s="174">
        <f>C_S_Digital[[#This Row],[ID_C]]</f>
        <v>134</v>
      </c>
      <c r="B139" s="139">
        <f>C_S_Digital[[#This Row],[Proceso]]</f>
        <v>0</v>
      </c>
      <c r="C139" s="140" t="e">
        <f>C_S_Digital[[#This Row],[Código riesgo]]</f>
        <v>#VALUE!</v>
      </c>
      <c r="D139" s="175" t="str">
        <f>C_S_Digital[[#This Row],[Código control]]</f>
        <v/>
      </c>
      <c r="E139" s="164"/>
      <c r="F139" s="24"/>
      <c r="G139" s="164"/>
      <c r="H139" s="55"/>
      <c r="I139" s="55"/>
      <c r="J139" s="55"/>
      <c r="K139" s="55"/>
      <c r="L139" s="54"/>
      <c r="M139" s="22"/>
      <c r="N139" s="23"/>
      <c r="O139" s="56"/>
      <c r="P139" s="57"/>
      <c r="Q139" s="57"/>
      <c r="R139" s="58"/>
      <c r="S139" s="59"/>
      <c r="T139" s="60"/>
    </row>
    <row r="140" spans="1:20" ht="16.5" x14ac:dyDescent="0.25">
      <c r="A140" s="174">
        <f>C_S_Digital[[#This Row],[ID_C]]</f>
        <v>135</v>
      </c>
      <c r="B140" s="139">
        <f>C_S_Digital[[#This Row],[Proceso]]</f>
        <v>0</v>
      </c>
      <c r="C140" s="140" t="e">
        <f>C_S_Digital[[#This Row],[Código riesgo]]</f>
        <v>#VALUE!</v>
      </c>
      <c r="D140" s="175" t="str">
        <f>C_S_Digital[[#This Row],[Código control]]</f>
        <v/>
      </c>
      <c r="E140" s="164"/>
      <c r="F140" s="24"/>
      <c r="G140" s="164"/>
      <c r="H140" s="55"/>
      <c r="I140" s="55"/>
      <c r="J140" s="55"/>
      <c r="K140" s="55"/>
      <c r="L140" s="54"/>
      <c r="M140" s="22"/>
      <c r="N140" s="23"/>
      <c r="O140" s="56"/>
      <c r="P140" s="57"/>
      <c r="Q140" s="57"/>
      <c r="R140" s="58"/>
      <c r="S140" s="59"/>
      <c r="T140" s="60"/>
    </row>
    <row r="141" spans="1:20" ht="16.5" x14ac:dyDescent="0.25">
      <c r="A141" s="174">
        <f>C_S_Digital[[#This Row],[ID_C]]</f>
        <v>136</v>
      </c>
      <c r="B141" s="139">
        <f>C_S_Digital[[#This Row],[Proceso]]</f>
        <v>0</v>
      </c>
      <c r="C141" s="140" t="e">
        <f>C_S_Digital[[#This Row],[Código riesgo]]</f>
        <v>#VALUE!</v>
      </c>
      <c r="D141" s="175" t="str">
        <f>C_S_Digital[[#This Row],[Código control]]</f>
        <v/>
      </c>
      <c r="E141" s="164"/>
      <c r="F141" s="24"/>
      <c r="G141" s="164"/>
      <c r="H141" s="55"/>
      <c r="I141" s="55"/>
      <c r="J141" s="55"/>
      <c r="K141" s="55"/>
      <c r="L141" s="54"/>
      <c r="M141" s="22"/>
      <c r="N141" s="23"/>
      <c r="O141" s="56"/>
      <c r="P141" s="57"/>
      <c r="Q141" s="57"/>
      <c r="R141" s="58"/>
      <c r="S141" s="59"/>
      <c r="T141" s="60"/>
    </row>
    <row r="142" spans="1:20" ht="16.5" x14ac:dyDescent="0.25">
      <c r="A142" s="174">
        <f>C_S_Digital[[#This Row],[ID_C]]</f>
        <v>137</v>
      </c>
      <c r="B142" s="139">
        <f>C_S_Digital[[#This Row],[Proceso]]</f>
        <v>0</v>
      </c>
      <c r="C142" s="140" t="e">
        <f>C_S_Digital[[#This Row],[Código riesgo]]</f>
        <v>#VALUE!</v>
      </c>
      <c r="D142" s="175" t="str">
        <f>C_S_Digital[[#This Row],[Código control]]</f>
        <v/>
      </c>
      <c r="E142" s="164"/>
      <c r="F142" s="24"/>
      <c r="G142" s="164"/>
      <c r="H142" s="55"/>
      <c r="I142" s="55"/>
      <c r="J142" s="55"/>
      <c r="K142" s="55"/>
      <c r="L142" s="54"/>
      <c r="M142" s="22"/>
      <c r="N142" s="23"/>
      <c r="O142" s="56"/>
      <c r="P142" s="57"/>
      <c r="Q142" s="57"/>
      <c r="R142" s="58"/>
      <c r="S142" s="59"/>
      <c r="T142" s="60"/>
    </row>
    <row r="143" spans="1:20" ht="17.25" thickBot="1" x14ac:dyDescent="0.3">
      <c r="A143" s="176">
        <f>C_S_Digital[[#This Row],[ID_C]]</f>
        <v>138</v>
      </c>
      <c r="B143" s="177">
        <f>C_S_Digital[[#This Row],[Proceso]]</f>
        <v>0</v>
      </c>
      <c r="C143" s="178" t="e">
        <f>C_S_Digital[[#This Row],[Código riesgo]]</f>
        <v>#VALUE!</v>
      </c>
      <c r="D143" s="179" t="str">
        <f>C_S_Digital[[#This Row],[Código control]]</f>
        <v/>
      </c>
      <c r="E143" s="165"/>
      <c r="F143" s="33"/>
      <c r="G143" s="165"/>
      <c r="H143" s="62"/>
      <c r="I143" s="62"/>
      <c r="J143" s="62"/>
      <c r="K143" s="62"/>
      <c r="L143" s="61"/>
      <c r="M143" s="31"/>
      <c r="N143" s="32"/>
      <c r="O143" s="63"/>
      <c r="P143" s="64"/>
      <c r="Q143" s="64"/>
      <c r="R143" s="65"/>
      <c r="S143" s="66"/>
      <c r="T143" s="67"/>
    </row>
    <row r="144" spans="1:20" ht="16.5" x14ac:dyDescent="0.25">
      <c r="A144" s="170">
        <f>C_S_Digital[[#This Row],[ID_C]]</f>
        <v>139</v>
      </c>
      <c r="B144" s="171">
        <f>C_S_Digital[[#This Row],[Proceso]]</f>
        <v>0</v>
      </c>
      <c r="C144" s="172" t="e">
        <f>C_S_Digital[[#This Row],[Código riesgo]]</f>
        <v>#VALUE!</v>
      </c>
      <c r="D144" s="173" t="str">
        <f>C_S_Digital[[#This Row],[Código control]]</f>
        <v/>
      </c>
      <c r="E144" s="166"/>
      <c r="F144" s="16"/>
      <c r="G144" s="166"/>
      <c r="H144" s="69"/>
      <c r="I144" s="69"/>
      <c r="J144" s="69"/>
      <c r="K144" s="69"/>
      <c r="L144" s="68"/>
      <c r="M144" s="14"/>
      <c r="N144" s="15"/>
      <c r="O144" s="70"/>
      <c r="P144" s="71"/>
      <c r="Q144" s="71"/>
      <c r="R144" s="72"/>
      <c r="S144" s="73"/>
      <c r="T144" s="74"/>
    </row>
    <row r="145" spans="1:20" ht="16.5" x14ac:dyDescent="0.25">
      <c r="A145" s="174">
        <f>C_S_Digital[[#This Row],[ID_C]]</f>
        <v>140</v>
      </c>
      <c r="B145" s="139">
        <f>C_S_Digital[[#This Row],[Proceso]]</f>
        <v>0</v>
      </c>
      <c r="C145" s="140" t="e">
        <f>C_S_Digital[[#This Row],[Código riesgo]]</f>
        <v>#VALUE!</v>
      </c>
      <c r="D145" s="175" t="str">
        <f>C_S_Digital[[#This Row],[Código control]]</f>
        <v/>
      </c>
      <c r="E145" s="164"/>
      <c r="F145" s="24"/>
      <c r="G145" s="164"/>
      <c r="H145" s="55"/>
      <c r="I145" s="55"/>
      <c r="J145" s="55"/>
      <c r="K145" s="55"/>
      <c r="L145" s="54"/>
      <c r="M145" s="22"/>
      <c r="N145" s="23"/>
      <c r="O145" s="56"/>
      <c r="P145" s="57"/>
      <c r="Q145" s="57"/>
      <c r="R145" s="58"/>
      <c r="S145" s="59"/>
      <c r="T145" s="60"/>
    </row>
    <row r="146" spans="1:20" ht="16.5" x14ac:dyDescent="0.25">
      <c r="A146" s="174">
        <f>C_S_Digital[[#This Row],[ID_C]]</f>
        <v>141</v>
      </c>
      <c r="B146" s="139">
        <f>C_S_Digital[[#This Row],[Proceso]]</f>
        <v>0</v>
      </c>
      <c r="C146" s="140" t="e">
        <f>C_S_Digital[[#This Row],[Código riesgo]]</f>
        <v>#VALUE!</v>
      </c>
      <c r="D146" s="175" t="str">
        <f>C_S_Digital[[#This Row],[Código control]]</f>
        <v/>
      </c>
      <c r="E146" s="164"/>
      <c r="F146" s="24"/>
      <c r="G146" s="164"/>
      <c r="H146" s="55"/>
      <c r="I146" s="55"/>
      <c r="J146" s="55"/>
      <c r="K146" s="55"/>
      <c r="L146" s="54"/>
      <c r="M146" s="22"/>
      <c r="N146" s="23"/>
      <c r="O146" s="56"/>
      <c r="P146" s="57"/>
      <c r="Q146" s="57"/>
      <c r="R146" s="58"/>
      <c r="S146" s="59"/>
      <c r="T146" s="60"/>
    </row>
    <row r="147" spans="1:20" ht="16.5" x14ac:dyDescent="0.25">
      <c r="A147" s="174">
        <f>C_S_Digital[[#This Row],[ID_C]]</f>
        <v>142</v>
      </c>
      <c r="B147" s="139">
        <f>C_S_Digital[[#This Row],[Proceso]]</f>
        <v>0</v>
      </c>
      <c r="C147" s="140" t="e">
        <f>C_S_Digital[[#This Row],[Código riesgo]]</f>
        <v>#VALUE!</v>
      </c>
      <c r="D147" s="175" t="str">
        <f>C_S_Digital[[#This Row],[Código control]]</f>
        <v/>
      </c>
      <c r="E147" s="164"/>
      <c r="F147" s="24"/>
      <c r="G147" s="164"/>
      <c r="H147" s="55"/>
      <c r="I147" s="55"/>
      <c r="J147" s="55"/>
      <c r="K147" s="55"/>
      <c r="L147" s="54"/>
      <c r="M147" s="22"/>
      <c r="N147" s="23"/>
      <c r="O147" s="56"/>
      <c r="P147" s="57"/>
      <c r="Q147" s="57"/>
      <c r="R147" s="58"/>
      <c r="S147" s="59"/>
      <c r="T147" s="60"/>
    </row>
    <row r="148" spans="1:20" ht="16.5" x14ac:dyDescent="0.25">
      <c r="A148" s="174">
        <f>C_S_Digital[[#This Row],[ID_C]]</f>
        <v>143</v>
      </c>
      <c r="B148" s="139">
        <f>C_S_Digital[[#This Row],[Proceso]]</f>
        <v>0</v>
      </c>
      <c r="C148" s="140" t="e">
        <f>C_S_Digital[[#This Row],[Código riesgo]]</f>
        <v>#VALUE!</v>
      </c>
      <c r="D148" s="175" t="str">
        <f>C_S_Digital[[#This Row],[Código control]]</f>
        <v/>
      </c>
      <c r="E148" s="164"/>
      <c r="F148" s="24"/>
      <c r="G148" s="164"/>
      <c r="H148" s="55"/>
      <c r="I148" s="55"/>
      <c r="J148" s="55"/>
      <c r="K148" s="55"/>
      <c r="L148" s="54"/>
      <c r="M148" s="22"/>
      <c r="N148" s="23"/>
      <c r="O148" s="56"/>
      <c r="P148" s="57"/>
      <c r="Q148" s="57"/>
      <c r="R148" s="58"/>
      <c r="S148" s="59"/>
      <c r="T148" s="60"/>
    </row>
    <row r="149" spans="1:20" ht="17.25" thickBot="1" x14ac:dyDescent="0.3">
      <c r="A149" s="176">
        <f>C_S_Digital[[#This Row],[ID_C]]</f>
        <v>144</v>
      </c>
      <c r="B149" s="177">
        <f>C_S_Digital[[#This Row],[Proceso]]</f>
        <v>0</v>
      </c>
      <c r="C149" s="178" t="e">
        <f>C_S_Digital[[#This Row],[Código riesgo]]</f>
        <v>#VALUE!</v>
      </c>
      <c r="D149" s="179" t="str">
        <f>C_S_Digital[[#This Row],[Código control]]</f>
        <v/>
      </c>
      <c r="E149" s="165"/>
      <c r="F149" s="33"/>
      <c r="G149" s="165"/>
      <c r="H149" s="62"/>
      <c r="I149" s="62"/>
      <c r="J149" s="62"/>
      <c r="K149" s="62"/>
      <c r="L149" s="61"/>
      <c r="M149" s="31"/>
      <c r="N149" s="32"/>
      <c r="O149" s="63"/>
      <c r="P149" s="64"/>
      <c r="Q149" s="64"/>
      <c r="R149" s="65"/>
      <c r="S149" s="66"/>
      <c r="T149" s="67"/>
    </row>
    <row r="150" spans="1:20" ht="16.5" x14ac:dyDescent="0.25">
      <c r="A150" s="170">
        <f>C_S_Digital[[#This Row],[ID_C]]</f>
        <v>145</v>
      </c>
      <c r="B150" s="171">
        <f>C_S_Digital[[#This Row],[Proceso]]</f>
        <v>0</v>
      </c>
      <c r="C150" s="172" t="e">
        <f>C_S_Digital[[#This Row],[Código riesgo]]</f>
        <v>#VALUE!</v>
      </c>
      <c r="D150" s="173" t="str">
        <f>C_S_Digital[[#This Row],[Código control]]</f>
        <v/>
      </c>
      <c r="E150" s="166"/>
      <c r="F150" s="16"/>
      <c r="G150" s="166"/>
      <c r="H150" s="69"/>
      <c r="I150" s="69"/>
      <c r="J150" s="69"/>
      <c r="K150" s="69"/>
      <c r="L150" s="68"/>
      <c r="M150" s="14"/>
      <c r="N150" s="15"/>
      <c r="O150" s="70"/>
      <c r="P150" s="71"/>
      <c r="Q150" s="71"/>
      <c r="R150" s="72"/>
      <c r="S150" s="73"/>
      <c r="T150" s="74"/>
    </row>
    <row r="151" spans="1:20" ht="16.5" x14ac:dyDescent="0.25">
      <c r="A151" s="174">
        <f>C_S_Digital[[#This Row],[ID_C]]</f>
        <v>146</v>
      </c>
      <c r="B151" s="139">
        <f>C_S_Digital[[#This Row],[Proceso]]</f>
        <v>0</v>
      </c>
      <c r="C151" s="140" t="e">
        <f>C_S_Digital[[#This Row],[Código riesgo]]</f>
        <v>#VALUE!</v>
      </c>
      <c r="D151" s="175" t="str">
        <f>C_S_Digital[[#This Row],[Código control]]</f>
        <v/>
      </c>
      <c r="E151" s="164"/>
      <c r="F151" s="24"/>
      <c r="G151" s="164"/>
      <c r="H151" s="55"/>
      <c r="I151" s="55"/>
      <c r="J151" s="55"/>
      <c r="K151" s="55"/>
      <c r="L151" s="54"/>
      <c r="M151" s="22"/>
      <c r="N151" s="23"/>
      <c r="O151" s="56"/>
      <c r="P151" s="57"/>
      <c r="Q151" s="57"/>
      <c r="R151" s="58"/>
      <c r="S151" s="59"/>
      <c r="T151" s="60"/>
    </row>
    <row r="152" spans="1:20" ht="16.5" x14ac:dyDescent="0.25">
      <c r="A152" s="174">
        <f>C_S_Digital[[#This Row],[ID_C]]</f>
        <v>147</v>
      </c>
      <c r="B152" s="139">
        <f>C_S_Digital[[#This Row],[Proceso]]</f>
        <v>0</v>
      </c>
      <c r="C152" s="140" t="e">
        <f>C_S_Digital[[#This Row],[Código riesgo]]</f>
        <v>#VALUE!</v>
      </c>
      <c r="D152" s="175" t="str">
        <f>C_S_Digital[[#This Row],[Código control]]</f>
        <v/>
      </c>
      <c r="E152" s="164"/>
      <c r="F152" s="24"/>
      <c r="G152" s="164"/>
      <c r="H152" s="55"/>
      <c r="I152" s="55"/>
      <c r="J152" s="55"/>
      <c r="K152" s="55"/>
      <c r="L152" s="54"/>
      <c r="M152" s="22"/>
      <c r="N152" s="23"/>
      <c r="O152" s="56"/>
      <c r="P152" s="57"/>
      <c r="Q152" s="57"/>
      <c r="R152" s="58"/>
      <c r="S152" s="59"/>
      <c r="T152" s="60"/>
    </row>
    <row r="153" spans="1:20" ht="16.5" x14ac:dyDescent="0.25">
      <c r="A153" s="174">
        <f>C_S_Digital[[#This Row],[ID_C]]</f>
        <v>148</v>
      </c>
      <c r="B153" s="139">
        <f>C_S_Digital[[#This Row],[Proceso]]</f>
        <v>0</v>
      </c>
      <c r="C153" s="140" t="e">
        <f>C_S_Digital[[#This Row],[Código riesgo]]</f>
        <v>#VALUE!</v>
      </c>
      <c r="D153" s="175" t="str">
        <f>C_S_Digital[[#This Row],[Código control]]</f>
        <v/>
      </c>
      <c r="E153" s="164"/>
      <c r="F153" s="24"/>
      <c r="G153" s="164"/>
      <c r="H153" s="55"/>
      <c r="I153" s="55"/>
      <c r="J153" s="55"/>
      <c r="K153" s="55"/>
      <c r="L153" s="54"/>
      <c r="M153" s="22"/>
      <c r="N153" s="23"/>
      <c r="O153" s="56"/>
      <c r="P153" s="57"/>
      <c r="Q153" s="57"/>
      <c r="R153" s="58"/>
      <c r="S153" s="59"/>
      <c r="T153" s="60"/>
    </row>
    <row r="154" spans="1:20" ht="16.5" x14ac:dyDescent="0.25">
      <c r="A154" s="174">
        <f>C_S_Digital[[#This Row],[ID_C]]</f>
        <v>149</v>
      </c>
      <c r="B154" s="139">
        <f>C_S_Digital[[#This Row],[Proceso]]</f>
        <v>0</v>
      </c>
      <c r="C154" s="140" t="e">
        <f>C_S_Digital[[#This Row],[Código riesgo]]</f>
        <v>#VALUE!</v>
      </c>
      <c r="D154" s="175" t="str">
        <f>C_S_Digital[[#This Row],[Código control]]</f>
        <v/>
      </c>
      <c r="E154" s="164"/>
      <c r="F154" s="24"/>
      <c r="G154" s="164"/>
      <c r="H154" s="55"/>
      <c r="I154" s="55"/>
      <c r="J154" s="55"/>
      <c r="K154" s="55"/>
      <c r="L154" s="54"/>
      <c r="M154" s="22"/>
      <c r="N154" s="23"/>
      <c r="O154" s="56"/>
      <c r="P154" s="57"/>
      <c r="Q154" s="57"/>
      <c r="R154" s="58"/>
      <c r="S154" s="59"/>
      <c r="T154" s="60"/>
    </row>
    <row r="155" spans="1:20" ht="17.25" thickBot="1" x14ac:dyDescent="0.3">
      <c r="A155" s="176">
        <f>C_S_Digital[[#This Row],[ID_C]]</f>
        <v>150</v>
      </c>
      <c r="B155" s="177">
        <f>C_S_Digital[[#This Row],[Proceso]]</f>
        <v>0</v>
      </c>
      <c r="C155" s="178" t="e">
        <f>C_S_Digital[[#This Row],[Código riesgo]]</f>
        <v>#VALUE!</v>
      </c>
      <c r="D155" s="179" t="str">
        <f>C_S_Digital[[#This Row],[Código control]]</f>
        <v/>
      </c>
      <c r="E155" s="165"/>
      <c r="F155" s="33"/>
      <c r="G155" s="165"/>
      <c r="H155" s="62"/>
      <c r="I155" s="62"/>
      <c r="J155" s="62"/>
      <c r="K155" s="62"/>
      <c r="L155" s="61"/>
      <c r="M155" s="31"/>
      <c r="N155" s="32"/>
      <c r="O155" s="63"/>
      <c r="P155" s="64"/>
      <c r="Q155" s="64"/>
      <c r="R155" s="65"/>
      <c r="S155" s="66"/>
      <c r="T155" s="67"/>
    </row>
    <row r="156" spans="1:20" ht="16.5" x14ac:dyDescent="0.25">
      <c r="A156" s="170">
        <f>C_S_Digital[[#This Row],[ID_C]]</f>
        <v>151</v>
      </c>
      <c r="B156" s="171">
        <f>C_S_Digital[[#This Row],[Proceso]]</f>
        <v>0</v>
      </c>
      <c r="C156" s="172" t="e">
        <f>C_S_Digital[[#This Row],[Código riesgo]]</f>
        <v>#VALUE!</v>
      </c>
      <c r="D156" s="173" t="str">
        <f>C_S_Digital[[#This Row],[Código control]]</f>
        <v/>
      </c>
      <c r="E156" s="166"/>
      <c r="F156" s="16"/>
      <c r="G156" s="166"/>
      <c r="H156" s="69"/>
      <c r="I156" s="69"/>
      <c r="J156" s="69"/>
      <c r="K156" s="69"/>
      <c r="L156" s="68"/>
      <c r="M156" s="14"/>
      <c r="N156" s="15"/>
      <c r="O156" s="70"/>
      <c r="P156" s="71"/>
      <c r="Q156" s="71"/>
      <c r="R156" s="72"/>
      <c r="S156" s="73"/>
      <c r="T156" s="74"/>
    </row>
    <row r="157" spans="1:20" ht="16.5" x14ac:dyDescent="0.25">
      <c r="A157" s="174">
        <f>C_S_Digital[[#This Row],[ID_C]]</f>
        <v>152</v>
      </c>
      <c r="B157" s="139">
        <f>C_S_Digital[[#This Row],[Proceso]]</f>
        <v>0</v>
      </c>
      <c r="C157" s="140" t="e">
        <f>C_S_Digital[[#This Row],[Código riesgo]]</f>
        <v>#VALUE!</v>
      </c>
      <c r="D157" s="175" t="str">
        <f>C_S_Digital[[#This Row],[Código control]]</f>
        <v/>
      </c>
      <c r="E157" s="164"/>
      <c r="F157" s="24"/>
      <c r="G157" s="164"/>
      <c r="H157" s="55"/>
      <c r="I157" s="55"/>
      <c r="J157" s="55"/>
      <c r="K157" s="55"/>
      <c r="L157" s="54"/>
      <c r="M157" s="22"/>
      <c r="N157" s="23"/>
      <c r="O157" s="56"/>
      <c r="P157" s="57"/>
      <c r="Q157" s="57"/>
      <c r="R157" s="58"/>
      <c r="S157" s="59"/>
      <c r="T157" s="60"/>
    </row>
    <row r="158" spans="1:20" ht="16.5" x14ac:dyDescent="0.25">
      <c r="A158" s="174">
        <f>C_S_Digital[[#This Row],[ID_C]]</f>
        <v>153</v>
      </c>
      <c r="B158" s="139">
        <f>C_S_Digital[[#This Row],[Proceso]]</f>
        <v>0</v>
      </c>
      <c r="C158" s="140" t="e">
        <f>C_S_Digital[[#This Row],[Código riesgo]]</f>
        <v>#VALUE!</v>
      </c>
      <c r="D158" s="175" t="str">
        <f>C_S_Digital[[#This Row],[Código control]]</f>
        <v/>
      </c>
      <c r="E158" s="164"/>
      <c r="F158" s="24"/>
      <c r="G158" s="164"/>
      <c r="H158" s="55"/>
      <c r="I158" s="55"/>
      <c r="J158" s="55"/>
      <c r="K158" s="55"/>
      <c r="L158" s="54"/>
      <c r="M158" s="22"/>
      <c r="N158" s="23"/>
      <c r="O158" s="56"/>
      <c r="P158" s="57"/>
      <c r="Q158" s="57"/>
      <c r="R158" s="58"/>
      <c r="S158" s="59"/>
      <c r="T158" s="60"/>
    </row>
    <row r="159" spans="1:20" ht="16.5" x14ac:dyDescent="0.25">
      <c r="A159" s="174">
        <f>C_S_Digital[[#This Row],[ID_C]]</f>
        <v>154</v>
      </c>
      <c r="B159" s="139">
        <f>C_S_Digital[[#This Row],[Proceso]]</f>
        <v>0</v>
      </c>
      <c r="C159" s="140" t="e">
        <f>C_S_Digital[[#This Row],[Código riesgo]]</f>
        <v>#VALUE!</v>
      </c>
      <c r="D159" s="175" t="str">
        <f>C_S_Digital[[#This Row],[Código control]]</f>
        <v/>
      </c>
      <c r="E159" s="164"/>
      <c r="F159" s="24"/>
      <c r="G159" s="164"/>
      <c r="H159" s="55"/>
      <c r="I159" s="55"/>
      <c r="J159" s="55"/>
      <c r="K159" s="55"/>
      <c r="L159" s="54"/>
      <c r="M159" s="22"/>
      <c r="N159" s="23"/>
      <c r="O159" s="56"/>
      <c r="P159" s="57"/>
      <c r="Q159" s="57"/>
      <c r="R159" s="58"/>
      <c r="S159" s="59"/>
      <c r="T159" s="60"/>
    </row>
    <row r="160" spans="1:20" ht="16.5" x14ac:dyDescent="0.25">
      <c r="A160" s="174">
        <f>C_S_Digital[[#This Row],[ID_C]]</f>
        <v>155</v>
      </c>
      <c r="B160" s="139">
        <f>C_S_Digital[[#This Row],[Proceso]]</f>
        <v>0</v>
      </c>
      <c r="C160" s="140" t="e">
        <f>C_S_Digital[[#This Row],[Código riesgo]]</f>
        <v>#VALUE!</v>
      </c>
      <c r="D160" s="175" t="str">
        <f>C_S_Digital[[#This Row],[Código control]]</f>
        <v/>
      </c>
      <c r="E160" s="164"/>
      <c r="F160" s="24"/>
      <c r="G160" s="164"/>
      <c r="H160" s="55"/>
      <c r="I160" s="55"/>
      <c r="J160" s="55"/>
      <c r="K160" s="55"/>
      <c r="L160" s="54"/>
      <c r="M160" s="22"/>
      <c r="N160" s="23"/>
      <c r="O160" s="56"/>
      <c r="P160" s="57"/>
      <c r="Q160" s="57"/>
      <c r="R160" s="58"/>
      <c r="S160" s="59"/>
      <c r="T160" s="60"/>
    </row>
    <row r="161" spans="1:20" ht="17.25" thickBot="1" x14ac:dyDescent="0.3">
      <c r="A161" s="176">
        <f>C_S_Digital[[#This Row],[ID_C]]</f>
        <v>156</v>
      </c>
      <c r="B161" s="177">
        <f>C_S_Digital[[#This Row],[Proceso]]</f>
        <v>0</v>
      </c>
      <c r="C161" s="178" t="e">
        <f>C_S_Digital[[#This Row],[Código riesgo]]</f>
        <v>#VALUE!</v>
      </c>
      <c r="D161" s="179" t="str">
        <f>C_S_Digital[[#This Row],[Código control]]</f>
        <v/>
      </c>
      <c r="E161" s="165"/>
      <c r="F161" s="33"/>
      <c r="G161" s="165"/>
      <c r="H161" s="62"/>
      <c r="I161" s="62"/>
      <c r="J161" s="62"/>
      <c r="K161" s="62"/>
      <c r="L161" s="61"/>
      <c r="M161" s="31"/>
      <c r="N161" s="32"/>
      <c r="O161" s="63"/>
      <c r="P161" s="64"/>
      <c r="Q161" s="64"/>
      <c r="R161" s="65"/>
      <c r="S161" s="66"/>
      <c r="T161" s="67"/>
    </row>
    <row r="162" spans="1:20" ht="16.5" x14ac:dyDescent="0.25">
      <c r="A162" s="170">
        <f>C_S_Digital[[#This Row],[ID_C]]</f>
        <v>157</v>
      </c>
      <c r="B162" s="171">
        <f>C_S_Digital[[#This Row],[Proceso]]</f>
        <v>0</v>
      </c>
      <c r="C162" s="172" t="e">
        <f>C_S_Digital[[#This Row],[Código riesgo]]</f>
        <v>#VALUE!</v>
      </c>
      <c r="D162" s="173" t="str">
        <f>C_S_Digital[[#This Row],[Código control]]</f>
        <v/>
      </c>
      <c r="E162" s="166"/>
      <c r="F162" s="16"/>
      <c r="G162" s="166"/>
      <c r="H162" s="69"/>
      <c r="I162" s="69"/>
      <c r="J162" s="69"/>
      <c r="K162" s="69"/>
      <c r="L162" s="68"/>
      <c r="M162" s="14"/>
      <c r="N162" s="15"/>
      <c r="O162" s="70"/>
      <c r="P162" s="71"/>
      <c r="Q162" s="71"/>
      <c r="R162" s="72"/>
      <c r="S162" s="73"/>
      <c r="T162" s="74"/>
    </row>
    <row r="163" spans="1:20" ht="16.5" x14ac:dyDescent="0.25">
      <c r="A163" s="174">
        <f>C_S_Digital[[#This Row],[ID_C]]</f>
        <v>158</v>
      </c>
      <c r="B163" s="139">
        <f>C_S_Digital[[#This Row],[Proceso]]</f>
        <v>0</v>
      </c>
      <c r="C163" s="140" t="e">
        <f>C_S_Digital[[#This Row],[Código riesgo]]</f>
        <v>#VALUE!</v>
      </c>
      <c r="D163" s="175" t="str">
        <f>C_S_Digital[[#This Row],[Código control]]</f>
        <v/>
      </c>
      <c r="E163" s="164"/>
      <c r="F163" s="24"/>
      <c r="G163" s="164"/>
      <c r="H163" s="55"/>
      <c r="I163" s="55"/>
      <c r="J163" s="55"/>
      <c r="K163" s="55"/>
      <c r="L163" s="54"/>
      <c r="M163" s="22"/>
      <c r="N163" s="23"/>
      <c r="O163" s="56"/>
      <c r="P163" s="57"/>
      <c r="Q163" s="57"/>
      <c r="R163" s="58"/>
      <c r="S163" s="59"/>
      <c r="T163" s="60"/>
    </row>
    <row r="164" spans="1:20" ht="16.5" x14ac:dyDescent="0.25">
      <c r="A164" s="174">
        <f>C_S_Digital[[#This Row],[ID_C]]</f>
        <v>159</v>
      </c>
      <c r="B164" s="139">
        <f>C_S_Digital[[#This Row],[Proceso]]</f>
        <v>0</v>
      </c>
      <c r="C164" s="140" t="e">
        <f>C_S_Digital[[#This Row],[Código riesgo]]</f>
        <v>#VALUE!</v>
      </c>
      <c r="D164" s="175" t="str">
        <f>C_S_Digital[[#This Row],[Código control]]</f>
        <v/>
      </c>
      <c r="E164" s="164"/>
      <c r="F164" s="24"/>
      <c r="G164" s="164"/>
      <c r="H164" s="55"/>
      <c r="I164" s="55"/>
      <c r="J164" s="55"/>
      <c r="K164" s="55"/>
      <c r="L164" s="54"/>
      <c r="M164" s="22"/>
      <c r="N164" s="23"/>
      <c r="O164" s="56"/>
      <c r="P164" s="57"/>
      <c r="Q164" s="57"/>
      <c r="R164" s="58"/>
      <c r="S164" s="59"/>
      <c r="T164" s="60"/>
    </row>
    <row r="165" spans="1:20" ht="16.5" x14ac:dyDescent="0.25">
      <c r="A165" s="174">
        <f>C_S_Digital[[#This Row],[ID_C]]</f>
        <v>160</v>
      </c>
      <c r="B165" s="139">
        <f>C_S_Digital[[#This Row],[Proceso]]</f>
        <v>0</v>
      </c>
      <c r="C165" s="140" t="e">
        <f>C_S_Digital[[#This Row],[Código riesgo]]</f>
        <v>#VALUE!</v>
      </c>
      <c r="D165" s="175" t="str">
        <f>C_S_Digital[[#This Row],[Código control]]</f>
        <v/>
      </c>
      <c r="E165" s="164"/>
      <c r="F165" s="24"/>
      <c r="G165" s="164"/>
      <c r="H165" s="55"/>
      <c r="I165" s="55"/>
      <c r="J165" s="55"/>
      <c r="K165" s="55"/>
      <c r="L165" s="54"/>
      <c r="M165" s="22"/>
      <c r="N165" s="23"/>
      <c r="O165" s="56"/>
      <c r="P165" s="57"/>
      <c r="Q165" s="57"/>
      <c r="R165" s="58"/>
      <c r="S165" s="59"/>
      <c r="T165" s="60"/>
    </row>
    <row r="166" spans="1:20" ht="16.5" x14ac:dyDescent="0.25">
      <c r="A166" s="174">
        <f>C_S_Digital[[#This Row],[ID_C]]</f>
        <v>161</v>
      </c>
      <c r="B166" s="139">
        <f>C_S_Digital[[#This Row],[Proceso]]</f>
        <v>0</v>
      </c>
      <c r="C166" s="140" t="e">
        <f>C_S_Digital[[#This Row],[Código riesgo]]</f>
        <v>#VALUE!</v>
      </c>
      <c r="D166" s="175" t="str">
        <f>C_S_Digital[[#This Row],[Código control]]</f>
        <v/>
      </c>
      <c r="E166" s="164"/>
      <c r="F166" s="24"/>
      <c r="G166" s="164"/>
      <c r="H166" s="55"/>
      <c r="I166" s="55"/>
      <c r="J166" s="55"/>
      <c r="K166" s="55"/>
      <c r="L166" s="54"/>
      <c r="M166" s="22"/>
      <c r="N166" s="23"/>
      <c r="O166" s="56"/>
      <c r="P166" s="57"/>
      <c r="Q166" s="57"/>
      <c r="R166" s="58"/>
      <c r="S166" s="59"/>
      <c r="T166" s="60"/>
    </row>
    <row r="167" spans="1:20" ht="17.25" thickBot="1" x14ac:dyDescent="0.3">
      <c r="A167" s="176">
        <f>C_S_Digital[[#This Row],[ID_C]]</f>
        <v>162</v>
      </c>
      <c r="B167" s="177">
        <f>C_S_Digital[[#This Row],[Proceso]]</f>
        <v>0</v>
      </c>
      <c r="C167" s="178" t="e">
        <f>C_S_Digital[[#This Row],[Código riesgo]]</f>
        <v>#VALUE!</v>
      </c>
      <c r="D167" s="179" t="str">
        <f>C_S_Digital[[#This Row],[Código control]]</f>
        <v/>
      </c>
      <c r="E167" s="165"/>
      <c r="F167" s="33"/>
      <c r="G167" s="165"/>
      <c r="H167" s="62"/>
      <c r="I167" s="62"/>
      <c r="J167" s="62"/>
      <c r="K167" s="62"/>
      <c r="L167" s="61"/>
      <c r="M167" s="31"/>
      <c r="N167" s="32"/>
      <c r="O167" s="63"/>
      <c r="P167" s="64"/>
      <c r="Q167" s="64"/>
      <c r="R167" s="65"/>
      <c r="S167" s="66"/>
      <c r="T167" s="67"/>
    </row>
    <row r="168" spans="1:20" ht="16.5" x14ac:dyDescent="0.25">
      <c r="A168" s="170">
        <f>C_S_Digital[[#This Row],[ID_C]]</f>
        <v>163</v>
      </c>
      <c r="B168" s="171">
        <f>C_S_Digital[[#This Row],[Proceso]]</f>
        <v>0</v>
      </c>
      <c r="C168" s="172" t="e">
        <f>C_S_Digital[[#This Row],[Código riesgo]]</f>
        <v>#VALUE!</v>
      </c>
      <c r="D168" s="173" t="str">
        <f>C_S_Digital[[#This Row],[Código control]]</f>
        <v/>
      </c>
      <c r="E168" s="166"/>
      <c r="F168" s="16"/>
      <c r="G168" s="166"/>
      <c r="H168" s="69"/>
      <c r="I168" s="69"/>
      <c r="J168" s="69"/>
      <c r="K168" s="69"/>
      <c r="L168" s="68"/>
      <c r="M168" s="14"/>
      <c r="N168" s="15"/>
      <c r="O168" s="70"/>
      <c r="P168" s="71"/>
      <c r="Q168" s="71"/>
      <c r="R168" s="72"/>
      <c r="S168" s="73"/>
      <c r="T168" s="74"/>
    </row>
    <row r="169" spans="1:20" ht="16.5" x14ac:dyDescent="0.25">
      <c r="A169" s="174">
        <f>C_S_Digital[[#This Row],[ID_C]]</f>
        <v>164</v>
      </c>
      <c r="B169" s="139">
        <f>C_S_Digital[[#This Row],[Proceso]]</f>
        <v>0</v>
      </c>
      <c r="C169" s="140" t="e">
        <f>C_S_Digital[[#This Row],[Código riesgo]]</f>
        <v>#VALUE!</v>
      </c>
      <c r="D169" s="175" t="str">
        <f>C_S_Digital[[#This Row],[Código control]]</f>
        <v/>
      </c>
      <c r="E169" s="164"/>
      <c r="F169" s="24"/>
      <c r="G169" s="164"/>
      <c r="H169" s="55"/>
      <c r="I169" s="55"/>
      <c r="J169" s="55"/>
      <c r="K169" s="55"/>
      <c r="L169" s="54"/>
      <c r="M169" s="22"/>
      <c r="N169" s="23"/>
      <c r="O169" s="56"/>
      <c r="P169" s="57"/>
      <c r="Q169" s="57"/>
      <c r="R169" s="58"/>
      <c r="S169" s="59"/>
      <c r="T169" s="60"/>
    </row>
    <row r="170" spans="1:20" ht="16.5" x14ac:dyDescent="0.25">
      <c r="A170" s="174">
        <f>C_S_Digital[[#This Row],[ID_C]]</f>
        <v>165</v>
      </c>
      <c r="B170" s="139">
        <f>C_S_Digital[[#This Row],[Proceso]]</f>
        <v>0</v>
      </c>
      <c r="C170" s="140" t="e">
        <f>C_S_Digital[[#This Row],[Código riesgo]]</f>
        <v>#VALUE!</v>
      </c>
      <c r="D170" s="175" t="str">
        <f>C_S_Digital[[#This Row],[Código control]]</f>
        <v/>
      </c>
      <c r="E170" s="164"/>
      <c r="F170" s="24"/>
      <c r="G170" s="164"/>
      <c r="H170" s="55"/>
      <c r="I170" s="55"/>
      <c r="J170" s="55"/>
      <c r="K170" s="55"/>
      <c r="L170" s="54"/>
      <c r="M170" s="22"/>
      <c r="N170" s="23"/>
      <c r="O170" s="56"/>
      <c r="P170" s="57"/>
      <c r="Q170" s="57"/>
      <c r="R170" s="58"/>
      <c r="S170" s="59"/>
      <c r="T170" s="60"/>
    </row>
    <row r="171" spans="1:20" ht="16.5" x14ac:dyDescent="0.25">
      <c r="A171" s="174">
        <f>C_S_Digital[[#This Row],[ID_C]]</f>
        <v>166</v>
      </c>
      <c r="B171" s="139">
        <f>C_S_Digital[[#This Row],[Proceso]]</f>
        <v>0</v>
      </c>
      <c r="C171" s="140" t="e">
        <f>C_S_Digital[[#This Row],[Código riesgo]]</f>
        <v>#VALUE!</v>
      </c>
      <c r="D171" s="175" t="str">
        <f>C_S_Digital[[#This Row],[Código control]]</f>
        <v/>
      </c>
      <c r="E171" s="164"/>
      <c r="F171" s="24"/>
      <c r="G171" s="164"/>
      <c r="H171" s="55"/>
      <c r="I171" s="55"/>
      <c r="J171" s="55"/>
      <c r="K171" s="55"/>
      <c r="L171" s="54"/>
      <c r="M171" s="22"/>
      <c r="N171" s="23"/>
      <c r="O171" s="56"/>
      <c r="P171" s="57"/>
      <c r="Q171" s="57"/>
      <c r="R171" s="58"/>
      <c r="S171" s="59"/>
      <c r="T171" s="60"/>
    </row>
    <row r="172" spans="1:20" ht="16.5" x14ac:dyDescent="0.25">
      <c r="A172" s="174">
        <f>C_S_Digital[[#This Row],[ID_C]]</f>
        <v>167</v>
      </c>
      <c r="B172" s="139">
        <f>C_S_Digital[[#This Row],[Proceso]]</f>
        <v>0</v>
      </c>
      <c r="C172" s="140" t="e">
        <f>C_S_Digital[[#This Row],[Código riesgo]]</f>
        <v>#VALUE!</v>
      </c>
      <c r="D172" s="175" t="str">
        <f>C_S_Digital[[#This Row],[Código control]]</f>
        <v/>
      </c>
      <c r="E172" s="164"/>
      <c r="F172" s="24"/>
      <c r="G172" s="164"/>
      <c r="H172" s="55"/>
      <c r="I172" s="55"/>
      <c r="J172" s="55"/>
      <c r="K172" s="55"/>
      <c r="L172" s="54"/>
      <c r="M172" s="22"/>
      <c r="N172" s="23"/>
      <c r="O172" s="56"/>
      <c r="P172" s="57"/>
      <c r="Q172" s="57"/>
      <c r="R172" s="58"/>
      <c r="S172" s="59"/>
      <c r="T172" s="60"/>
    </row>
    <row r="173" spans="1:20" ht="17.25" thickBot="1" x14ac:dyDescent="0.3">
      <c r="A173" s="176">
        <f>C_S_Digital[[#This Row],[ID_C]]</f>
        <v>168</v>
      </c>
      <c r="B173" s="177">
        <f>C_S_Digital[[#This Row],[Proceso]]</f>
        <v>0</v>
      </c>
      <c r="C173" s="178" t="e">
        <f>C_S_Digital[[#This Row],[Código riesgo]]</f>
        <v>#VALUE!</v>
      </c>
      <c r="D173" s="179" t="str">
        <f>C_S_Digital[[#This Row],[Código control]]</f>
        <v/>
      </c>
      <c r="E173" s="165"/>
      <c r="F173" s="33"/>
      <c r="G173" s="165"/>
      <c r="H173" s="62"/>
      <c r="I173" s="62"/>
      <c r="J173" s="62"/>
      <c r="K173" s="62"/>
      <c r="L173" s="61"/>
      <c r="M173" s="31"/>
      <c r="N173" s="32"/>
      <c r="O173" s="63"/>
      <c r="P173" s="64"/>
      <c r="Q173" s="64"/>
      <c r="R173" s="65"/>
      <c r="S173" s="66"/>
      <c r="T173" s="67"/>
    </row>
    <row r="174" spans="1:20" ht="16.5" x14ac:dyDescent="0.25">
      <c r="A174" s="170">
        <f>C_S_Digital[[#This Row],[ID_C]]</f>
        <v>169</v>
      </c>
      <c r="B174" s="171">
        <f>C_S_Digital[[#This Row],[Proceso]]</f>
        <v>0</v>
      </c>
      <c r="C174" s="172" t="e">
        <f>C_S_Digital[[#This Row],[Código riesgo]]</f>
        <v>#VALUE!</v>
      </c>
      <c r="D174" s="173" t="str">
        <f>C_S_Digital[[#This Row],[Código control]]</f>
        <v/>
      </c>
      <c r="E174" s="166"/>
      <c r="F174" s="16"/>
      <c r="G174" s="166"/>
      <c r="H174" s="69"/>
      <c r="I174" s="69"/>
      <c r="J174" s="69"/>
      <c r="K174" s="69"/>
      <c r="L174" s="68"/>
      <c r="M174" s="14"/>
      <c r="N174" s="15"/>
      <c r="O174" s="70"/>
      <c r="P174" s="71"/>
      <c r="Q174" s="71"/>
      <c r="R174" s="72"/>
      <c r="S174" s="73"/>
      <c r="T174" s="74"/>
    </row>
    <row r="175" spans="1:20" ht="16.5" x14ac:dyDescent="0.25">
      <c r="A175" s="174">
        <f>C_S_Digital[[#This Row],[ID_C]]</f>
        <v>170</v>
      </c>
      <c r="B175" s="139">
        <f>C_S_Digital[[#This Row],[Proceso]]</f>
        <v>0</v>
      </c>
      <c r="C175" s="140" t="e">
        <f>C_S_Digital[[#This Row],[Código riesgo]]</f>
        <v>#VALUE!</v>
      </c>
      <c r="D175" s="175" t="str">
        <f>C_S_Digital[[#This Row],[Código control]]</f>
        <v/>
      </c>
      <c r="E175" s="164"/>
      <c r="F175" s="24"/>
      <c r="G175" s="164"/>
      <c r="H175" s="55"/>
      <c r="I175" s="55"/>
      <c r="J175" s="55"/>
      <c r="K175" s="55"/>
      <c r="L175" s="54"/>
      <c r="M175" s="22"/>
      <c r="N175" s="23"/>
      <c r="O175" s="56"/>
      <c r="P175" s="57"/>
      <c r="Q175" s="57"/>
      <c r="R175" s="58"/>
      <c r="S175" s="59"/>
      <c r="T175" s="60"/>
    </row>
    <row r="176" spans="1:20" ht="16.5" x14ac:dyDescent="0.25">
      <c r="A176" s="174">
        <f>C_S_Digital[[#This Row],[ID_C]]</f>
        <v>171</v>
      </c>
      <c r="B176" s="139">
        <f>C_S_Digital[[#This Row],[Proceso]]</f>
        <v>0</v>
      </c>
      <c r="C176" s="140" t="e">
        <f>C_S_Digital[[#This Row],[Código riesgo]]</f>
        <v>#VALUE!</v>
      </c>
      <c r="D176" s="175" t="str">
        <f>C_S_Digital[[#This Row],[Código control]]</f>
        <v/>
      </c>
      <c r="E176" s="164"/>
      <c r="F176" s="24"/>
      <c r="G176" s="164"/>
      <c r="H176" s="55"/>
      <c r="I176" s="55"/>
      <c r="J176" s="55"/>
      <c r="K176" s="55"/>
      <c r="L176" s="54"/>
      <c r="M176" s="22"/>
      <c r="N176" s="23"/>
      <c r="O176" s="56"/>
      <c r="P176" s="57"/>
      <c r="Q176" s="57"/>
      <c r="R176" s="58"/>
      <c r="S176" s="59"/>
      <c r="T176" s="60"/>
    </row>
    <row r="177" spans="1:20" ht="16.5" x14ac:dyDescent="0.25">
      <c r="A177" s="174">
        <f>C_S_Digital[[#This Row],[ID_C]]</f>
        <v>172</v>
      </c>
      <c r="B177" s="139">
        <f>C_S_Digital[[#This Row],[Proceso]]</f>
        <v>0</v>
      </c>
      <c r="C177" s="140" t="e">
        <f>C_S_Digital[[#This Row],[Código riesgo]]</f>
        <v>#VALUE!</v>
      </c>
      <c r="D177" s="175" t="str">
        <f>C_S_Digital[[#This Row],[Código control]]</f>
        <v/>
      </c>
      <c r="E177" s="164"/>
      <c r="F177" s="24"/>
      <c r="G177" s="164"/>
      <c r="H177" s="55"/>
      <c r="I177" s="55"/>
      <c r="J177" s="55"/>
      <c r="K177" s="55"/>
      <c r="L177" s="54"/>
      <c r="M177" s="22"/>
      <c r="N177" s="23"/>
      <c r="O177" s="56"/>
      <c r="P177" s="57"/>
      <c r="Q177" s="57"/>
      <c r="R177" s="58"/>
      <c r="S177" s="59"/>
      <c r="T177" s="60"/>
    </row>
    <row r="178" spans="1:20" ht="16.5" x14ac:dyDescent="0.25">
      <c r="A178" s="174">
        <f>C_S_Digital[[#This Row],[ID_C]]</f>
        <v>173</v>
      </c>
      <c r="B178" s="139">
        <f>C_S_Digital[[#This Row],[Proceso]]</f>
        <v>0</v>
      </c>
      <c r="C178" s="140" t="e">
        <f>C_S_Digital[[#This Row],[Código riesgo]]</f>
        <v>#VALUE!</v>
      </c>
      <c r="D178" s="175" t="str">
        <f>C_S_Digital[[#This Row],[Código control]]</f>
        <v/>
      </c>
      <c r="E178" s="164"/>
      <c r="F178" s="24"/>
      <c r="G178" s="164"/>
      <c r="H178" s="55"/>
      <c r="I178" s="55"/>
      <c r="J178" s="55"/>
      <c r="K178" s="55"/>
      <c r="L178" s="54"/>
      <c r="M178" s="22"/>
      <c r="N178" s="23"/>
      <c r="O178" s="56"/>
      <c r="P178" s="57"/>
      <c r="Q178" s="57"/>
      <c r="R178" s="58"/>
      <c r="S178" s="59"/>
      <c r="T178" s="60"/>
    </row>
    <row r="179" spans="1:20" ht="17.25" thickBot="1" x14ac:dyDescent="0.3">
      <c r="A179" s="176">
        <f>C_S_Digital[[#This Row],[ID_C]]</f>
        <v>174</v>
      </c>
      <c r="B179" s="177">
        <f>C_S_Digital[[#This Row],[Proceso]]</f>
        <v>0</v>
      </c>
      <c r="C179" s="178" t="e">
        <f>C_S_Digital[[#This Row],[Código riesgo]]</f>
        <v>#VALUE!</v>
      </c>
      <c r="D179" s="179" t="str">
        <f>C_S_Digital[[#This Row],[Código control]]</f>
        <v/>
      </c>
      <c r="E179" s="165"/>
      <c r="F179" s="33"/>
      <c r="G179" s="165"/>
      <c r="H179" s="62"/>
      <c r="I179" s="62"/>
      <c r="J179" s="62"/>
      <c r="K179" s="62"/>
      <c r="L179" s="61"/>
      <c r="M179" s="31"/>
      <c r="N179" s="32"/>
      <c r="O179" s="63"/>
      <c r="P179" s="64"/>
      <c r="Q179" s="64"/>
      <c r="R179" s="65"/>
      <c r="S179" s="66"/>
      <c r="T179" s="67"/>
    </row>
    <row r="180" spans="1:20" ht="16.5" x14ac:dyDescent="0.25">
      <c r="A180" s="170">
        <f>C_S_Digital[[#This Row],[ID_C]]</f>
        <v>175</v>
      </c>
      <c r="B180" s="171">
        <f>C_S_Digital[[#This Row],[Proceso]]</f>
        <v>0</v>
      </c>
      <c r="C180" s="172" t="e">
        <f>C_S_Digital[[#This Row],[Código riesgo]]</f>
        <v>#VALUE!</v>
      </c>
      <c r="D180" s="173" t="str">
        <f>C_S_Digital[[#This Row],[Código control]]</f>
        <v/>
      </c>
      <c r="E180" s="166"/>
      <c r="F180" s="16"/>
      <c r="G180" s="166"/>
      <c r="H180" s="69"/>
      <c r="I180" s="69"/>
      <c r="J180" s="69"/>
      <c r="K180" s="69"/>
      <c r="L180" s="68"/>
      <c r="M180" s="14"/>
      <c r="N180" s="15"/>
      <c r="O180" s="70"/>
      <c r="P180" s="71"/>
      <c r="Q180" s="71"/>
      <c r="R180" s="72"/>
      <c r="S180" s="73"/>
      <c r="T180" s="74"/>
    </row>
    <row r="181" spans="1:20" ht="16.5" x14ac:dyDescent="0.25">
      <c r="A181" s="174">
        <f>C_S_Digital[[#This Row],[ID_C]]</f>
        <v>176</v>
      </c>
      <c r="B181" s="139">
        <f>C_S_Digital[[#This Row],[Proceso]]</f>
        <v>0</v>
      </c>
      <c r="C181" s="140" t="e">
        <f>C_S_Digital[[#This Row],[Código riesgo]]</f>
        <v>#VALUE!</v>
      </c>
      <c r="D181" s="175" t="str">
        <f>C_S_Digital[[#This Row],[Código control]]</f>
        <v/>
      </c>
      <c r="E181" s="164"/>
      <c r="F181" s="24"/>
      <c r="G181" s="164"/>
      <c r="H181" s="55"/>
      <c r="I181" s="55"/>
      <c r="J181" s="55"/>
      <c r="K181" s="55"/>
      <c r="L181" s="54"/>
      <c r="M181" s="22"/>
      <c r="N181" s="23"/>
      <c r="O181" s="56"/>
      <c r="P181" s="57"/>
      <c r="Q181" s="57"/>
      <c r="R181" s="58"/>
      <c r="S181" s="59"/>
      <c r="T181" s="60"/>
    </row>
    <row r="182" spans="1:20" ht="16.5" x14ac:dyDescent="0.25">
      <c r="A182" s="174">
        <f>C_S_Digital[[#This Row],[ID_C]]</f>
        <v>177</v>
      </c>
      <c r="B182" s="139">
        <f>C_S_Digital[[#This Row],[Proceso]]</f>
        <v>0</v>
      </c>
      <c r="C182" s="140" t="e">
        <f>C_S_Digital[[#This Row],[Código riesgo]]</f>
        <v>#VALUE!</v>
      </c>
      <c r="D182" s="175" t="str">
        <f>C_S_Digital[[#This Row],[Código control]]</f>
        <v/>
      </c>
      <c r="E182" s="164"/>
      <c r="F182" s="24"/>
      <c r="G182" s="164"/>
      <c r="H182" s="55"/>
      <c r="I182" s="55"/>
      <c r="J182" s="55"/>
      <c r="K182" s="55"/>
      <c r="L182" s="54"/>
      <c r="M182" s="22"/>
      <c r="N182" s="23"/>
      <c r="O182" s="56"/>
      <c r="P182" s="57"/>
      <c r="Q182" s="57"/>
      <c r="R182" s="58"/>
      <c r="S182" s="59"/>
      <c r="T182" s="60"/>
    </row>
    <row r="183" spans="1:20" ht="16.5" x14ac:dyDescent="0.25">
      <c r="A183" s="174">
        <f>C_S_Digital[[#This Row],[ID_C]]</f>
        <v>178</v>
      </c>
      <c r="B183" s="139">
        <f>C_S_Digital[[#This Row],[Proceso]]</f>
        <v>0</v>
      </c>
      <c r="C183" s="140" t="e">
        <f>C_S_Digital[[#This Row],[Código riesgo]]</f>
        <v>#VALUE!</v>
      </c>
      <c r="D183" s="175" t="str">
        <f>C_S_Digital[[#This Row],[Código control]]</f>
        <v/>
      </c>
      <c r="E183" s="164"/>
      <c r="F183" s="24"/>
      <c r="G183" s="164"/>
      <c r="H183" s="55"/>
      <c r="I183" s="55"/>
      <c r="J183" s="55"/>
      <c r="K183" s="55"/>
      <c r="L183" s="54"/>
      <c r="M183" s="22"/>
      <c r="N183" s="23"/>
      <c r="O183" s="56"/>
      <c r="P183" s="57"/>
      <c r="Q183" s="57"/>
      <c r="R183" s="58"/>
      <c r="S183" s="59"/>
      <c r="T183" s="60"/>
    </row>
    <row r="184" spans="1:20" ht="16.5" x14ac:dyDescent="0.25">
      <c r="A184" s="174">
        <f>C_S_Digital[[#This Row],[ID_C]]</f>
        <v>179</v>
      </c>
      <c r="B184" s="139">
        <f>C_S_Digital[[#This Row],[Proceso]]</f>
        <v>0</v>
      </c>
      <c r="C184" s="140" t="e">
        <f>C_S_Digital[[#This Row],[Código riesgo]]</f>
        <v>#VALUE!</v>
      </c>
      <c r="D184" s="175" t="str">
        <f>C_S_Digital[[#This Row],[Código control]]</f>
        <v/>
      </c>
      <c r="E184" s="164"/>
      <c r="F184" s="24"/>
      <c r="G184" s="164"/>
      <c r="H184" s="55"/>
      <c r="I184" s="55"/>
      <c r="J184" s="55"/>
      <c r="K184" s="55"/>
      <c r="L184" s="54"/>
      <c r="M184" s="22"/>
      <c r="N184" s="23"/>
      <c r="O184" s="56"/>
      <c r="P184" s="57"/>
      <c r="Q184" s="57"/>
      <c r="R184" s="58"/>
      <c r="S184" s="59"/>
      <c r="T184" s="60"/>
    </row>
    <row r="185" spans="1:20" ht="17.25" thickBot="1" x14ac:dyDescent="0.3">
      <c r="A185" s="176">
        <f>C_S_Digital[[#This Row],[ID_C]]</f>
        <v>180</v>
      </c>
      <c r="B185" s="177">
        <f>C_S_Digital[[#This Row],[Proceso]]</f>
        <v>0</v>
      </c>
      <c r="C185" s="178" t="e">
        <f>C_S_Digital[[#This Row],[Código riesgo]]</f>
        <v>#VALUE!</v>
      </c>
      <c r="D185" s="179" t="str">
        <f>C_S_Digital[[#This Row],[Código control]]</f>
        <v/>
      </c>
      <c r="E185" s="165"/>
      <c r="F185" s="33"/>
      <c r="G185" s="165"/>
      <c r="H185" s="62"/>
      <c r="I185" s="62"/>
      <c r="J185" s="62"/>
      <c r="K185" s="62"/>
      <c r="L185" s="61"/>
      <c r="M185" s="31"/>
      <c r="N185" s="32"/>
      <c r="O185" s="63"/>
      <c r="P185" s="64"/>
      <c r="Q185" s="64"/>
      <c r="R185" s="65"/>
      <c r="S185" s="66"/>
      <c r="T185" s="67"/>
    </row>
    <row r="186" spans="1:20" ht="16.5" x14ac:dyDescent="0.25">
      <c r="A186" s="170">
        <f>C_S_Digital[[#This Row],[ID_C]]</f>
        <v>181</v>
      </c>
      <c r="B186" s="171">
        <f>C_S_Digital[[#This Row],[Proceso]]</f>
        <v>0</v>
      </c>
      <c r="C186" s="172" t="e">
        <f>C_S_Digital[[#This Row],[Código riesgo]]</f>
        <v>#VALUE!</v>
      </c>
      <c r="D186" s="173" t="str">
        <f>C_S_Digital[[#This Row],[Código control]]</f>
        <v/>
      </c>
      <c r="E186" s="166"/>
      <c r="F186" s="16"/>
      <c r="G186" s="166"/>
      <c r="H186" s="69"/>
      <c r="I186" s="69"/>
      <c r="J186" s="69"/>
      <c r="K186" s="69"/>
      <c r="L186" s="68"/>
      <c r="M186" s="14"/>
      <c r="N186" s="15"/>
      <c r="O186" s="70"/>
      <c r="P186" s="71"/>
      <c r="Q186" s="71"/>
      <c r="R186" s="72"/>
      <c r="S186" s="73"/>
      <c r="T186" s="74"/>
    </row>
    <row r="187" spans="1:20" ht="16.5" x14ac:dyDescent="0.25">
      <c r="A187" s="174">
        <f>C_S_Digital[[#This Row],[ID_C]]</f>
        <v>182</v>
      </c>
      <c r="B187" s="139">
        <f>C_S_Digital[[#This Row],[Proceso]]</f>
        <v>0</v>
      </c>
      <c r="C187" s="140" t="e">
        <f>C_S_Digital[[#This Row],[Código riesgo]]</f>
        <v>#VALUE!</v>
      </c>
      <c r="D187" s="175" t="str">
        <f>C_S_Digital[[#This Row],[Código control]]</f>
        <v/>
      </c>
      <c r="E187" s="164"/>
      <c r="F187" s="24"/>
      <c r="G187" s="164"/>
      <c r="H187" s="55"/>
      <c r="I187" s="55"/>
      <c r="J187" s="55"/>
      <c r="K187" s="55"/>
      <c r="L187" s="54"/>
      <c r="M187" s="22"/>
      <c r="N187" s="23"/>
      <c r="O187" s="56"/>
      <c r="P187" s="57"/>
      <c r="Q187" s="57"/>
      <c r="R187" s="58"/>
      <c r="S187" s="59"/>
      <c r="T187" s="60"/>
    </row>
    <row r="188" spans="1:20" ht="16.5" x14ac:dyDescent="0.25">
      <c r="A188" s="174">
        <f>C_S_Digital[[#This Row],[ID_C]]</f>
        <v>183</v>
      </c>
      <c r="B188" s="139">
        <f>C_S_Digital[[#This Row],[Proceso]]</f>
        <v>0</v>
      </c>
      <c r="C188" s="140" t="e">
        <f>C_S_Digital[[#This Row],[Código riesgo]]</f>
        <v>#VALUE!</v>
      </c>
      <c r="D188" s="175" t="str">
        <f>C_S_Digital[[#This Row],[Código control]]</f>
        <v/>
      </c>
      <c r="E188" s="164"/>
      <c r="F188" s="24"/>
      <c r="G188" s="164"/>
      <c r="H188" s="55"/>
      <c r="I188" s="55"/>
      <c r="J188" s="55"/>
      <c r="K188" s="55"/>
      <c r="L188" s="54"/>
      <c r="M188" s="22"/>
      <c r="N188" s="23"/>
      <c r="O188" s="56"/>
      <c r="P188" s="57"/>
      <c r="Q188" s="57"/>
      <c r="R188" s="58"/>
      <c r="S188" s="59"/>
      <c r="T188" s="60"/>
    </row>
    <row r="189" spans="1:20" ht="16.5" x14ac:dyDescent="0.25">
      <c r="A189" s="174">
        <f>C_S_Digital[[#This Row],[ID_C]]</f>
        <v>184</v>
      </c>
      <c r="B189" s="139">
        <f>C_S_Digital[[#This Row],[Proceso]]</f>
        <v>0</v>
      </c>
      <c r="C189" s="140" t="e">
        <f>C_S_Digital[[#This Row],[Código riesgo]]</f>
        <v>#VALUE!</v>
      </c>
      <c r="D189" s="175" t="str">
        <f>C_S_Digital[[#This Row],[Código control]]</f>
        <v/>
      </c>
      <c r="E189" s="164"/>
      <c r="F189" s="24"/>
      <c r="G189" s="164"/>
      <c r="H189" s="55"/>
      <c r="I189" s="55"/>
      <c r="J189" s="55"/>
      <c r="K189" s="55"/>
      <c r="L189" s="54"/>
      <c r="M189" s="22"/>
      <c r="N189" s="23"/>
      <c r="O189" s="56"/>
      <c r="P189" s="57"/>
      <c r="Q189" s="57"/>
      <c r="R189" s="58"/>
      <c r="S189" s="59"/>
      <c r="T189" s="60"/>
    </row>
    <row r="190" spans="1:20" ht="16.5" x14ac:dyDescent="0.25">
      <c r="A190" s="174">
        <f>C_S_Digital[[#This Row],[ID_C]]</f>
        <v>185</v>
      </c>
      <c r="B190" s="139">
        <f>C_S_Digital[[#This Row],[Proceso]]</f>
        <v>0</v>
      </c>
      <c r="C190" s="140" t="e">
        <f>C_S_Digital[[#This Row],[Código riesgo]]</f>
        <v>#VALUE!</v>
      </c>
      <c r="D190" s="175" t="str">
        <f>C_S_Digital[[#This Row],[Código control]]</f>
        <v/>
      </c>
      <c r="E190" s="164"/>
      <c r="F190" s="24"/>
      <c r="G190" s="164"/>
      <c r="H190" s="55"/>
      <c r="I190" s="55"/>
      <c r="J190" s="55"/>
      <c r="K190" s="55"/>
      <c r="L190" s="54"/>
      <c r="M190" s="22"/>
      <c r="N190" s="23"/>
      <c r="O190" s="56"/>
      <c r="P190" s="57"/>
      <c r="Q190" s="57"/>
      <c r="R190" s="58"/>
      <c r="S190" s="59"/>
      <c r="T190" s="60"/>
    </row>
    <row r="191" spans="1:20" ht="17.25" thickBot="1" x14ac:dyDescent="0.3">
      <c r="A191" s="176">
        <f>C_S_Digital[[#This Row],[ID_C]]</f>
        <v>186</v>
      </c>
      <c r="B191" s="177">
        <f>C_S_Digital[[#This Row],[Proceso]]</f>
        <v>0</v>
      </c>
      <c r="C191" s="178" t="e">
        <f>C_S_Digital[[#This Row],[Código riesgo]]</f>
        <v>#VALUE!</v>
      </c>
      <c r="D191" s="179" t="str">
        <f>C_S_Digital[[#This Row],[Código control]]</f>
        <v/>
      </c>
      <c r="E191" s="165"/>
      <c r="F191" s="33"/>
      <c r="G191" s="165"/>
      <c r="H191" s="62"/>
      <c r="I191" s="62"/>
      <c r="J191" s="62"/>
      <c r="K191" s="62"/>
      <c r="L191" s="61"/>
      <c r="M191" s="31"/>
      <c r="N191" s="32"/>
      <c r="O191" s="63"/>
      <c r="P191" s="64"/>
      <c r="Q191" s="64"/>
      <c r="R191" s="65"/>
      <c r="S191" s="66"/>
      <c r="T191" s="67"/>
    </row>
    <row r="192" spans="1:20" ht="16.5" x14ac:dyDescent="0.25">
      <c r="A192" s="170">
        <f>C_S_Digital[[#This Row],[ID_C]]</f>
        <v>187</v>
      </c>
      <c r="B192" s="171">
        <f>C_S_Digital[[#This Row],[Proceso]]</f>
        <v>0</v>
      </c>
      <c r="C192" s="172" t="e">
        <f>C_S_Digital[[#This Row],[Código riesgo]]</f>
        <v>#VALUE!</v>
      </c>
      <c r="D192" s="173" t="str">
        <f>C_S_Digital[[#This Row],[Código control]]</f>
        <v/>
      </c>
      <c r="E192" s="166"/>
      <c r="F192" s="16"/>
      <c r="G192" s="166"/>
      <c r="H192" s="69"/>
      <c r="I192" s="69"/>
      <c r="J192" s="69"/>
      <c r="K192" s="69"/>
      <c r="L192" s="68"/>
      <c r="M192" s="14"/>
      <c r="N192" s="15"/>
      <c r="O192" s="70"/>
      <c r="P192" s="71"/>
      <c r="Q192" s="71"/>
      <c r="R192" s="72"/>
      <c r="S192" s="73"/>
      <c r="T192" s="74"/>
    </row>
    <row r="193" spans="1:20" ht="16.5" x14ac:dyDescent="0.25">
      <c r="A193" s="174">
        <f>C_S_Digital[[#This Row],[ID_C]]</f>
        <v>188</v>
      </c>
      <c r="B193" s="139">
        <f>C_S_Digital[[#This Row],[Proceso]]</f>
        <v>0</v>
      </c>
      <c r="C193" s="140" t="e">
        <f>C_S_Digital[[#This Row],[Código riesgo]]</f>
        <v>#VALUE!</v>
      </c>
      <c r="D193" s="175" t="str">
        <f>C_S_Digital[[#This Row],[Código control]]</f>
        <v/>
      </c>
      <c r="E193" s="164"/>
      <c r="F193" s="24"/>
      <c r="G193" s="164"/>
      <c r="H193" s="55"/>
      <c r="I193" s="55"/>
      <c r="J193" s="55"/>
      <c r="K193" s="55"/>
      <c r="L193" s="54"/>
      <c r="M193" s="22"/>
      <c r="N193" s="23"/>
      <c r="O193" s="56"/>
      <c r="P193" s="57"/>
      <c r="Q193" s="57"/>
      <c r="R193" s="58"/>
      <c r="S193" s="59"/>
      <c r="T193" s="60"/>
    </row>
    <row r="194" spans="1:20" ht="16.5" x14ac:dyDescent="0.25">
      <c r="A194" s="174">
        <f>C_S_Digital[[#This Row],[ID_C]]</f>
        <v>189</v>
      </c>
      <c r="B194" s="139">
        <f>C_S_Digital[[#This Row],[Proceso]]</f>
        <v>0</v>
      </c>
      <c r="C194" s="140" t="e">
        <f>C_S_Digital[[#This Row],[Código riesgo]]</f>
        <v>#VALUE!</v>
      </c>
      <c r="D194" s="175" t="str">
        <f>C_S_Digital[[#This Row],[Código control]]</f>
        <v/>
      </c>
      <c r="E194" s="164"/>
      <c r="F194" s="24"/>
      <c r="G194" s="164"/>
      <c r="H194" s="55"/>
      <c r="I194" s="55"/>
      <c r="J194" s="55"/>
      <c r="K194" s="55"/>
      <c r="L194" s="54"/>
      <c r="M194" s="22"/>
      <c r="N194" s="23"/>
      <c r="O194" s="56"/>
      <c r="P194" s="57"/>
      <c r="Q194" s="57"/>
      <c r="R194" s="58"/>
      <c r="S194" s="59"/>
      <c r="T194" s="60"/>
    </row>
    <row r="195" spans="1:20" ht="16.5" x14ac:dyDescent="0.25">
      <c r="A195" s="174">
        <f>C_S_Digital[[#This Row],[ID_C]]</f>
        <v>190</v>
      </c>
      <c r="B195" s="139">
        <f>C_S_Digital[[#This Row],[Proceso]]</f>
        <v>0</v>
      </c>
      <c r="C195" s="140" t="e">
        <f>C_S_Digital[[#This Row],[Código riesgo]]</f>
        <v>#VALUE!</v>
      </c>
      <c r="D195" s="175" t="str">
        <f>C_S_Digital[[#This Row],[Código control]]</f>
        <v/>
      </c>
      <c r="E195" s="164"/>
      <c r="F195" s="24"/>
      <c r="G195" s="164"/>
      <c r="H195" s="55"/>
      <c r="I195" s="55"/>
      <c r="J195" s="55"/>
      <c r="K195" s="55"/>
      <c r="L195" s="54"/>
      <c r="M195" s="22"/>
      <c r="N195" s="23"/>
      <c r="O195" s="56"/>
      <c r="P195" s="57"/>
      <c r="Q195" s="57"/>
      <c r="R195" s="58"/>
      <c r="S195" s="59"/>
      <c r="T195" s="60"/>
    </row>
    <row r="196" spans="1:20" ht="16.5" x14ac:dyDescent="0.25">
      <c r="A196" s="174">
        <f>C_S_Digital[[#This Row],[ID_C]]</f>
        <v>191</v>
      </c>
      <c r="B196" s="139">
        <f>C_S_Digital[[#This Row],[Proceso]]</f>
        <v>0</v>
      </c>
      <c r="C196" s="140" t="e">
        <f>C_S_Digital[[#This Row],[Código riesgo]]</f>
        <v>#VALUE!</v>
      </c>
      <c r="D196" s="175" t="str">
        <f>C_S_Digital[[#This Row],[Código control]]</f>
        <v/>
      </c>
      <c r="E196" s="164"/>
      <c r="F196" s="24"/>
      <c r="G196" s="164"/>
      <c r="H196" s="55"/>
      <c r="I196" s="55"/>
      <c r="J196" s="55"/>
      <c r="K196" s="55"/>
      <c r="L196" s="54"/>
      <c r="M196" s="22"/>
      <c r="N196" s="23"/>
      <c r="O196" s="56"/>
      <c r="P196" s="57"/>
      <c r="Q196" s="57"/>
      <c r="R196" s="58"/>
      <c r="S196" s="59"/>
      <c r="T196" s="60"/>
    </row>
    <row r="197" spans="1:20" ht="17.25" thickBot="1" x14ac:dyDescent="0.3">
      <c r="A197" s="176">
        <f>C_S_Digital[[#This Row],[ID_C]]</f>
        <v>192</v>
      </c>
      <c r="B197" s="177">
        <f>C_S_Digital[[#This Row],[Proceso]]</f>
        <v>0</v>
      </c>
      <c r="C197" s="178" t="e">
        <f>C_S_Digital[[#This Row],[Código riesgo]]</f>
        <v>#VALUE!</v>
      </c>
      <c r="D197" s="179" t="str">
        <f>C_S_Digital[[#This Row],[Código control]]</f>
        <v/>
      </c>
      <c r="E197" s="165"/>
      <c r="F197" s="33"/>
      <c r="G197" s="165"/>
      <c r="H197" s="62"/>
      <c r="I197" s="62"/>
      <c r="J197" s="62"/>
      <c r="K197" s="62"/>
      <c r="L197" s="61"/>
      <c r="M197" s="31"/>
      <c r="N197" s="32"/>
      <c r="O197" s="63"/>
      <c r="P197" s="64"/>
      <c r="Q197" s="64"/>
      <c r="R197" s="65"/>
      <c r="S197" s="66"/>
      <c r="T197" s="67"/>
    </row>
    <row r="198" spans="1:20" ht="16.5" x14ac:dyDescent="0.25">
      <c r="A198" s="170">
        <f>C_S_Digital[[#This Row],[ID_C]]</f>
        <v>193</v>
      </c>
      <c r="B198" s="171">
        <f>C_S_Digital[[#This Row],[Proceso]]</f>
        <v>0</v>
      </c>
      <c r="C198" s="172" t="e">
        <f>C_S_Digital[[#This Row],[Código riesgo]]</f>
        <v>#VALUE!</v>
      </c>
      <c r="D198" s="173" t="str">
        <f>C_S_Digital[[#This Row],[Código control]]</f>
        <v/>
      </c>
      <c r="E198" s="166"/>
      <c r="F198" s="16"/>
      <c r="G198" s="166"/>
      <c r="H198" s="69"/>
      <c r="I198" s="69"/>
      <c r="J198" s="69"/>
      <c r="K198" s="69"/>
      <c r="L198" s="68"/>
      <c r="M198" s="14"/>
      <c r="N198" s="15"/>
      <c r="O198" s="70"/>
      <c r="P198" s="71"/>
      <c r="Q198" s="71"/>
      <c r="R198" s="72"/>
      <c r="S198" s="73"/>
      <c r="T198" s="74"/>
    </row>
    <row r="199" spans="1:20" ht="16.5" x14ac:dyDescent="0.25">
      <c r="A199" s="174">
        <f>C_S_Digital[[#This Row],[ID_C]]</f>
        <v>194</v>
      </c>
      <c r="B199" s="139">
        <f>C_S_Digital[[#This Row],[Proceso]]</f>
        <v>0</v>
      </c>
      <c r="C199" s="140" t="e">
        <f>C_S_Digital[[#This Row],[Código riesgo]]</f>
        <v>#VALUE!</v>
      </c>
      <c r="D199" s="175" t="str">
        <f>C_S_Digital[[#This Row],[Código control]]</f>
        <v/>
      </c>
      <c r="E199" s="164"/>
      <c r="F199" s="24"/>
      <c r="G199" s="164"/>
      <c r="H199" s="55"/>
      <c r="I199" s="55"/>
      <c r="J199" s="55"/>
      <c r="K199" s="55"/>
      <c r="L199" s="54"/>
      <c r="M199" s="22"/>
      <c r="N199" s="23"/>
      <c r="O199" s="56"/>
      <c r="P199" s="57"/>
      <c r="Q199" s="57"/>
      <c r="R199" s="58"/>
      <c r="S199" s="59"/>
      <c r="T199" s="60"/>
    </row>
    <row r="200" spans="1:20" ht="16.5" x14ac:dyDescent="0.25">
      <c r="A200" s="174">
        <f>C_S_Digital[[#This Row],[ID_C]]</f>
        <v>195</v>
      </c>
      <c r="B200" s="139">
        <f>C_S_Digital[[#This Row],[Proceso]]</f>
        <v>0</v>
      </c>
      <c r="C200" s="140" t="e">
        <f>C_S_Digital[[#This Row],[Código riesgo]]</f>
        <v>#VALUE!</v>
      </c>
      <c r="D200" s="175" t="str">
        <f>C_S_Digital[[#This Row],[Código control]]</f>
        <v/>
      </c>
      <c r="E200" s="164"/>
      <c r="F200" s="24"/>
      <c r="G200" s="164"/>
      <c r="H200" s="55"/>
      <c r="I200" s="55"/>
      <c r="J200" s="55"/>
      <c r="K200" s="55"/>
      <c r="L200" s="54"/>
      <c r="M200" s="22"/>
      <c r="N200" s="23"/>
      <c r="O200" s="56"/>
      <c r="P200" s="57"/>
      <c r="Q200" s="57"/>
      <c r="R200" s="58"/>
      <c r="S200" s="59"/>
      <c r="T200" s="60"/>
    </row>
    <row r="201" spans="1:20" ht="16.5" x14ac:dyDescent="0.25">
      <c r="A201" s="174">
        <f>C_S_Digital[[#This Row],[ID_C]]</f>
        <v>196</v>
      </c>
      <c r="B201" s="139">
        <f>C_S_Digital[[#This Row],[Proceso]]</f>
        <v>0</v>
      </c>
      <c r="C201" s="140" t="e">
        <f>C_S_Digital[[#This Row],[Código riesgo]]</f>
        <v>#VALUE!</v>
      </c>
      <c r="D201" s="175" t="str">
        <f>C_S_Digital[[#This Row],[Código control]]</f>
        <v/>
      </c>
      <c r="E201" s="164"/>
      <c r="F201" s="24"/>
      <c r="G201" s="164"/>
      <c r="H201" s="55"/>
      <c r="I201" s="55"/>
      <c r="J201" s="55"/>
      <c r="K201" s="55"/>
      <c r="L201" s="54"/>
      <c r="M201" s="22"/>
      <c r="N201" s="23"/>
      <c r="O201" s="56"/>
      <c r="P201" s="57"/>
      <c r="Q201" s="57"/>
      <c r="R201" s="58"/>
      <c r="S201" s="59"/>
      <c r="T201" s="60"/>
    </row>
    <row r="202" spans="1:20" ht="16.5" x14ac:dyDescent="0.25">
      <c r="A202" s="174">
        <f>C_S_Digital[[#This Row],[ID_C]]</f>
        <v>197</v>
      </c>
      <c r="B202" s="139">
        <f>C_S_Digital[[#This Row],[Proceso]]</f>
        <v>0</v>
      </c>
      <c r="C202" s="140" t="e">
        <f>C_S_Digital[[#This Row],[Código riesgo]]</f>
        <v>#VALUE!</v>
      </c>
      <c r="D202" s="175" t="str">
        <f>C_S_Digital[[#This Row],[Código control]]</f>
        <v/>
      </c>
      <c r="E202" s="164"/>
      <c r="F202" s="24"/>
      <c r="G202" s="164"/>
      <c r="H202" s="55"/>
      <c r="I202" s="55"/>
      <c r="J202" s="55"/>
      <c r="K202" s="55"/>
      <c r="L202" s="54"/>
      <c r="M202" s="22"/>
      <c r="N202" s="23"/>
      <c r="O202" s="56"/>
      <c r="P202" s="57"/>
      <c r="Q202" s="57"/>
      <c r="R202" s="58"/>
      <c r="S202" s="59"/>
      <c r="T202" s="60"/>
    </row>
    <row r="203" spans="1:20" ht="17.25" thickBot="1" x14ac:dyDescent="0.3">
      <c r="A203" s="176">
        <f>C_S_Digital[[#This Row],[ID_C]]</f>
        <v>198</v>
      </c>
      <c r="B203" s="177">
        <f>C_S_Digital[[#This Row],[Proceso]]</f>
        <v>0</v>
      </c>
      <c r="C203" s="178" t="e">
        <f>C_S_Digital[[#This Row],[Código riesgo]]</f>
        <v>#VALUE!</v>
      </c>
      <c r="D203" s="179" t="str">
        <f>C_S_Digital[[#This Row],[Código control]]</f>
        <v/>
      </c>
      <c r="E203" s="165"/>
      <c r="F203" s="33"/>
      <c r="G203" s="165"/>
      <c r="H203" s="62"/>
      <c r="I203" s="62"/>
      <c r="J203" s="62"/>
      <c r="K203" s="62"/>
      <c r="L203" s="61"/>
      <c r="M203" s="31"/>
      <c r="N203" s="32"/>
      <c r="O203" s="63"/>
      <c r="P203" s="64"/>
      <c r="Q203" s="64"/>
      <c r="R203" s="65"/>
      <c r="S203" s="66"/>
      <c r="T203" s="67"/>
    </row>
    <row r="204" spans="1:20" ht="16.5" x14ac:dyDescent="0.25">
      <c r="A204" s="170">
        <f>C_S_Digital[[#This Row],[ID_C]]</f>
        <v>199</v>
      </c>
      <c r="B204" s="171">
        <f>C_S_Digital[[#This Row],[Proceso]]</f>
        <v>0</v>
      </c>
      <c r="C204" s="172" t="e">
        <f>C_S_Digital[[#This Row],[Código riesgo]]</f>
        <v>#VALUE!</v>
      </c>
      <c r="D204" s="173" t="str">
        <f>C_S_Digital[[#This Row],[Código control]]</f>
        <v/>
      </c>
      <c r="E204" s="166"/>
      <c r="F204" s="16"/>
      <c r="G204" s="166"/>
      <c r="H204" s="69"/>
      <c r="I204" s="69"/>
      <c r="J204" s="69"/>
      <c r="K204" s="69"/>
      <c r="L204" s="68"/>
      <c r="M204" s="14"/>
      <c r="N204" s="15"/>
      <c r="O204" s="70"/>
      <c r="P204" s="71"/>
      <c r="Q204" s="71"/>
      <c r="R204" s="72"/>
      <c r="S204" s="73"/>
      <c r="T204" s="74"/>
    </row>
    <row r="205" spans="1:20" ht="16.5" x14ac:dyDescent="0.25">
      <c r="A205" s="174">
        <f>C_S_Digital[[#This Row],[ID_C]]</f>
        <v>200</v>
      </c>
      <c r="B205" s="139">
        <f>C_S_Digital[[#This Row],[Proceso]]</f>
        <v>0</v>
      </c>
      <c r="C205" s="140" t="e">
        <f>C_S_Digital[[#This Row],[Código riesgo]]</f>
        <v>#VALUE!</v>
      </c>
      <c r="D205" s="175" t="str">
        <f>C_S_Digital[[#This Row],[Código control]]</f>
        <v/>
      </c>
      <c r="E205" s="164"/>
      <c r="F205" s="24"/>
      <c r="G205" s="164"/>
      <c r="H205" s="55"/>
      <c r="I205" s="55"/>
      <c r="J205" s="55"/>
      <c r="K205" s="55"/>
      <c r="L205" s="54"/>
      <c r="M205" s="22"/>
      <c r="N205" s="23"/>
      <c r="O205" s="56"/>
      <c r="P205" s="57"/>
      <c r="Q205" s="57"/>
      <c r="R205" s="58"/>
      <c r="S205" s="59"/>
      <c r="T205" s="60"/>
    </row>
    <row r="206" spans="1:20" ht="16.5" x14ac:dyDescent="0.25">
      <c r="A206" s="174">
        <f>C_S_Digital[[#This Row],[ID_C]]</f>
        <v>201</v>
      </c>
      <c r="B206" s="139">
        <f>C_S_Digital[[#This Row],[Proceso]]</f>
        <v>0</v>
      </c>
      <c r="C206" s="140" t="e">
        <f>C_S_Digital[[#This Row],[Código riesgo]]</f>
        <v>#VALUE!</v>
      </c>
      <c r="D206" s="175" t="str">
        <f>C_S_Digital[[#This Row],[Código control]]</f>
        <v/>
      </c>
      <c r="E206" s="164"/>
      <c r="F206" s="24"/>
      <c r="G206" s="164"/>
      <c r="H206" s="55"/>
      <c r="I206" s="55"/>
      <c r="J206" s="55"/>
      <c r="K206" s="55"/>
      <c r="L206" s="54"/>
      <c r="M206" s="22"/>
      <c r="N206" s="23"/>
      <c r="O206" s="56"/>
      <c r="P206" s="57"/>
      <c r="Q206" s="57"/>
      <c r="R206" s="58"/>
      <c r="S206" s="59"/>
      <c r="T206" s="60"/>
    </row>
    <row r="207" spans="1:20" ht="16.5" x14ac:dyDescent="0.25">
      <c r="A207" s="174">
        <f>C_S_Digital[[#This Row],[ID_C]]</f>
        <v>202</v>
      </c>
      <c r="B207" s="139">
        <f>C_S_Digital[[#This Row],[Proceso]]</f>
        <v>0</v>
      </c>
      <c r="C207" s="140" t="e">
        <f>C_S_Digital[[#This Row],[Código riesgo]]</f>
        <v>#VALUE!</v>
      </c>
      <c r="D207" s="175" t="str">
        <f>C_S_Digital[[#This Row],[Código control]]</f>
        <v/>
      </c>
      <c r="E207" s="164"/>
      <c r="F207" s="24"/>
      <c r="G207" s="164"/>
      <c r="H207" s="55"/>
      <c r="I207" s="55"/>
      <c r="J207" s="55"/>
      <c r="K207" s="55"/>
      <c r="L207" s="54"/>
      <c r="M207" s="22"/>
      <c r="N207" s="23"/>
      <c r="O207" s="56"/>
      <c r="P207" s="57"/>
      <c r="Q207" s="57"/>
      <c r="R207" s="58"/>
      <c r="S207" s="59"/>
      <c r="T207" s="60"/>
    </row>
    <row r="208" spans="1:20" ht="16.5" x14ac:dyDescent="0.25">
      <c r="A208" s="174">
        <f>C_S_Digital[[#This Row],[ID_C]]</f>
        <v>203</v>
      </c>
      <c r="B208" s="139">
        <f>C_S_Digital[[#This Row],[Proceso]]</f>
        <v>0</v>
      </c>
      <c r="C208" s="140" t="e">
        <f>C_S_Digital[[#This Row],[Código riesgo]]</f>
        <v>#VALUE!</v>
      </c>
      <c r="D208" s="175" t="str">
        <f>C_S_Digital[[#This Row],[Código control]]</f>
        <v/>
      </c>
      <c r="E208" s="164"/>
      <c r="F208" s="24"/>
      <c r="G208" s="164"/>
      <c r="H208" s="55"/>
      <c r="I208" s="55"/>
      <c r="J208" s="55"/>
      <c r="K208" s="55"/>
      <c r="L208" s="54"/>
      <c r="M208" s="22"/>
      <c r="N208" s="23"/>
      <c r="O208" s="56"/>
      <c r="P208" s="57"/>
      <c r="Q208" s="57"/>
      <c r="R208" s="58"/>
      <c r="S208" s="59"/>
      <c r="T208" s="60"/>
    </row>
    <row r="209" spans="1:20" ht="17.25" thickBot="1" x14ac:dyDescent="0.3">
      <c r="A209" s="176">
        <f>C_S_Digital[[#This Row],[ID_C]]</f>
        <v>204</v>
      </c>
      <c r="B209" s="177">
        <f>C_S_Digital[[#This Row],[Proceso]]</f>
        <v>0</v>
      </c>
      <c r="C209" s="178" t="e">
        <f>C_S_Digital[[#This Row],[Código riesgo]]</f>
        <v>#VALUE!</v>
      </c>
      <c r="D209" s="179" t="str">
        <f>C_S_Digital[[#This Row],[Código control]]</f>
        <v/>
      </c>
      <c r="E209" s="165"/>
      <c r="F209" s="33"/>
      <c r="G209" s="165"/>
      <c r="H209" s="62"/>
      <c r="I209" s="62"/>
      <c r="J209" s="62"/>
      <c r="K209" s="62"/>
      <c r="L209" s="61"/>
      <c r="M209" s="31"/>
      <c r="N209" s="32"/>
      <c r="O209" s="63"/>
      <c r="P209" s="64"/>
      <c r="Q209" s="64"/>
      <c r="R209" s="65"/>
      <c r="S209" s="66"/>
      <c r="T209" s="67"/>
    </row>
    <row r="210" spans="1:20" ht="16.5" x14ac:dyDescent="0.25">
      <c r="A210" s="170">
        <f>C_S_Digital[[#This Row],[ID_C]]</f>
        <v>205</v>
      </c>
      <c r="B210" s="171">
        <f>C_S_Digital[[#This Row],[Proceso]]</f>
        <v>0</v>
      </c>
      <c r="C210" s="172" t="e">
        <f>C_S_Digital[[#This Row],[Código riesgo]]</f>
        <v>#VALUE!</v>
      </c>
      <c r="D210" s="173" t="str">
        <f>C_S_Digital[[#This Row],[Código control]]</f>
        <v/>
      </c>
      <c r="E210" s="166"/>
      <c r="F210" s="16"/>
      <c r="G210" s="166"/>
      <c r="H210" s="69"/>
      <c r="I210" s="69"/>
      <c r="J210" s="69"/>
      <c r="K210" s="69"/>
      <c r="L210" s="68"/>
      <c r="M210" s="14"/>
      <c r="N210" s="15"/>
      <c r="O210" s="70"/>
      <c r="P210" s="71"/>
      <c r="Q210" s="71"/>
      <c r="R210" s="72"/>
      <c r="S210" s="73"/>
      <c r="T210" s="74"/>
    </row>
    <row r="211" spans="1:20" ht="16.5" x14ac:dyDescent="0.25">
      <c r="A211" s="174">
        <f>C_S_Digital[[#This Row],[ID_C]]</f>
        <v>206</v>
      </c>
      <c r="B211" s="139">
        <f>C_S_Digital[[#This Row],[Proceso]]</f>
        <v>0</v>
      </c>
      <c r="C211" s="140" t="e">
        <f>C_S_Digital[[#This Row],[Código riesgo]]</f>
        <v>#VALUE!</v>
      </c>
      <c r="D211" s="175" t="str">
        <f>C_S_Digital[[#This Row],[Código control]]</f>
        <v/>
      </c>
      <c r="E211" s="164"/>
      <c r="F211" s="24"/>
      <c r="G211" s="164"/>
      <c r="H211" s="55"/>
      <c r="I211" s="55"/>
      <c r="J211" s="55"/>
      <c r="K211" s="55"/>
      <c r="L211" s="54"/>
      <c r="M211" s="22"/>
      <c r="N211" s="23"/>
      <c r="O211" s="56"/>
      <c r="P211" s="57"/>
      <c r="Q211" s="57"/>
      <c r="R211" s="58"/>
      <c r="S211" s="59"/>
      <c r="T211" s="60"/>
    </row>
    <row r="212" spans="1:20" ht="16.5" x14ac:dyDescent="0.25">
      <c r="A212" s="174">
        <f>C_S_Digital[[#This Row],[ID_C]]</f>
        <v>207</v>
      </c>
      <c r="B212" s="139">
        <f>C_S_Digital[[#This Row],[Proceso]]</f>
        <v>0</v>
      </c>
      <c r="C212" s="140" t="e">
        <f>C_S_Digital[[#This Row],[Código riesgo]]</f>
        <v>#VALUE!</v>
      </c>
      <c r="D212" s="175" t="str">
        <f>C_S_Digital[[#This Row],[Código control]]</f>
        <v/>
      </c>
      <c r="E212" s="164"/>
      <c r="F212" s="24"/>
      <c r="G212" s="164"/>
      <c r="H212" s="55"/>
      <c r="I212" s="55"/>
      <c r="J212" s="55"/>
      <c r="K212" s="55"/>
      <c r="L212" s="54"/>
      <c r="M212" s="22"/>
      <c r="N212" s="23"/>
      <c r="O212" s="56"/>
      <c r="P212" s="57"/>
      <c r="Q212" s="57"/>
      <c r="R212" s="58"/>
      <c r="S212" s="59"/>
      <c r="T212" s="60"/>
    </row>
    <row r="213" spans="1:20" ht="16.5" x14ac:dyDescent="0.25">
      <c r="A213" s="174">
        <f>C_S_Digital[[#This Row],[ID_C]]</f>
        <v>208</v>
      </c>
      <c r="B213" s="139">
        <f>C_S_Digital[[#This Row],[Proceso]]</f>
        <v>0</v>
      </c>
      <c r="C213" s="140" t="e">
        <f>C_S_Digital[[#This Row],[Código riesgo]]</f>
        <v>#VALUE!</v>
      </c>
      <c r="D213" s="175" t="str">
        <f>C_S_Digital[[#This Row],[Código control]]</f>
        <v/>
      </c>
      <c r="E213" s="164"/>
      <c r="F213" s="24"/>
      <c r="G213" s="164"/>
      <c r="H213" s="55"/>
      <c r="I213" s="55"/>
      <c r="J213" s="55"/>
      <c r="K213" s="55"/>
      <c r="L213" s="54"/>
      <c r="M213" s="22"/>
      <c r="N213" s="23"/>
      <c r="O213" s="56"/>
      <c r="P213" s="57"/>
      <c r="Q213" s="57"/>
      <c r="R213" s="58"/>
      <c r="S213" s="59"/>
      <c r="T213" s="60"/>
    </row>
    <row r="214" spans="1:20" ht="16.5" x14ac:dyDescent="0.25">
      <c r="A214" s="174">
        <f>C_S_Digital[[#This Row],[ID_C]]</f>
        <v>209</v>
      </c>
      <c r="B214" s="139">
        <f>C_S_Digital[[#This Row],[Proceso]]</f>
        <v>0</v>
      </c>
      <c r="C214" s="140" t="e">
        <f>C_S_Digital[[#This Row],[Código riesgo]]</f>
        <v>#VALUE!</v>
      </c>
      <c r="D214" s="175" t="str">
        <f>C_S_Digital[[#This Row],[Código control]]</f>
        <v/>
      </c>
      <c r="E214" s="164"/>
      <c r="F214" s="24"/>
      <c r="G214" s="164"/>
      <c r="H214" s="55"/>
      <c r="I214" s="55"/>
      <c r="J214" s="55"/>
      <c r="K214" s="55"/>
      <c r="L214" s="54"/>
      <c r="M214" s="22"/>
      <c r="N214" s="23"/>
      <c r="O214" s="56"/>
      <c r="P214" s="57"/>
      <c r="Q214" s="57"/>
      <c r="R214" s="58"/>
      <c r="S214" s="59"/>
      <c r="T214" s="60"/>
    </row>
    <row r="215" spans="1:20" ht="17.25" thickBot="1" x14ac:dyDescent="0.3">
      <c r="A215" s="176">
        <f>C_S_Digital[[#This Row],[ID_C]]</f>
        <v>210</v>
      </c>
      <c r="B215" s="177">
        <f>C_S_Digital[[#This Row],[Proceso]]</f>
        <v>0</v>
      </c>
      <c r="C215" s="178" t="e">
        <f>C_S_Digital[[#This Row],[Código riesgo]]</f>
        <v>#VALUE!</v>
      </c>
      <c r="D215" s="179" t="str">
        <f>C_S_Digital[[#This Row],[Código control]]</f>
        <v/>
      </c>
      <c r="E215" s="165"/>
      <c r="F215" s="33"/>
      <c r="G215" s="165"/>
      <c r="H215" s="62"/>
      <c r="I215" s="62"/>
      <c r="J215" s="62"/>
      <c r="K215" s="62"/>
      <c r="L215" s="61"/>
      <c r="M215" s="31"/>
      <c r="N215" s="32"/>
      <c r="O215" s="63"/>
      <c r="P215" s="64"/>
      <c r="Q215" s="64"/>
      <c r="R215" s="65"/>
      <c r="S215" s="66"/>
      <c r="T215" s="67"/>
    </row>
    <row r="216" spans="1:20" ht="16.5" x14ac:dyDescent="0.25">
      <c r="A216" s="170">
        <f>C_S_Digital[[#This Row],[ID_C]]</f>
        <v>211</v>
      </c>
      <c r="B216" s="171">
        <f>C_S_Digital[[#This Row],[Proceso]]</f>
        <v>0</v>
      </c>
      <c r="C216" s="172" t="e">
        <f>C_S_Digital[[#This Row],[Código riesgo]]</f>
        <v>#VALUE!</v>
      </c>
      <c r="D216" s="173" t="str">
        <f>C_S_Digital[[#This Row],[Código control]]</f>
        <v/>
      </c>
      <c r="E216" s="166"/>
      <c r="F216" s="16"/>
      <c r="G216" s="166"/>
      <c r="H216" s="69"/>
      <c r="I216" s="69"/>
      <c r="J216" s="69"/>
      <c r="K216" s="69"/>
      <c r="L216" s="68"/>
      <c r="M216" s="14"/>
      <c r="N216" s="15"/>
      <c r="O216" s="70"/>
      <c r="P216" s="71"/>
      <c r="Q216" s="71"/>
      <c r="R216" s="72"/>
      <c r="S216" s="73"/>
      <c r="T216" s="74"/>
    </row>
    <row r="217" spans="1:20" ht="16.5" x14ac:dyDescent="0.25">
      <c r="A217" s="174">
        <f>C_S_Digital[[#This Row],[ID_C]]</f>
        <v>212</v>
      </c>
      <c r="B217" s="139">
        <f>C_S_Digital[[#This Row],[Proceso]]</f>
        <v>0</v>
      </c>
      <c r="C217" s="140" t="e">
        <f>C_S_Digital[[#This Row],[Código riesgo]]</f>
        <v>#VALUE!</v>
      </c>
      <c r="D217" s="175" t="str">
        <f>C_S_Digital[[#This Row],[Código control]]</f>
        <v/>
      </c>
      <c r="E217" s="164"/>
      <c r="F217" s="24"/>
      <c r="G217" s="164"/>
      <c r="H217" s="55"/>
      <c r="I217" s="55"/>
      <c r="J217" s="55"/>
      <c r="K217" s="55"/>
      <c r="L217" s="54"/>
      <c r="M217" s="22"/>
      <c r="N217" s="23"/>
      <c r="O217" s="56"/>
      <c r="P217" s="57"/>
      <c r="Q217" s="57"/>
      <c r="R217" s="58"/>
      <c r="S217" s="59"/>
      <c r="T217" s="60"/>
    </row>
    <row r="218" spans="1:20" ht="16.5" x14ac:dyDescent="0.25">
      <c r="A218" s="174">
        <f>C_S_Digital[[#This Row],[ID_C]]</f>
        <v>213</v>
      </c>
      <c r="B218" s="139">
        <f>C_S_Digital[[#This Row],[Proceso]]</f>
        <v>0</v>
      </c>
      <c r="C218" s="140" t="e">
        <f>C_S_Digital[[#This Row],[Código riesgo]]</f>
        <v>#VALUE!</v>
      </c>
      <c r="D218" s="175" t="str">
        <f>C_S_Digital[[#This Row],[Código control]]</f>
        <v/>
      </c>
      <c r="E218" s="164"/>
      <c r="F218" s="24"/>
      <c r="G218" s="164"/>
      <c r="H218" s="55"/>
      <c r="I218" s="55"/>
      <c r="J218" s="55"/>
      <c r="K218" s="55"/>
      <c r="L218" s="54"/>
      <c r="M218" s="22"/>
      <c r="N218" s="23"/>
      <c r="O218" s="56"/>
      <c r="P218" s="57"/>
      <c r="Q218" s="57"/>
      <c r="R218" s="58"/>
      <c r="S218" s="59"/>
      <c r="T218" s="60"/>
    </row>
    <row r="219" spans="1:20" ht="16.5" x14ac:dyDescent="0.25">
      <c r="A219" s="174">
        <f>C_S_Digital[[#This Row],[ID_C]]</f>
        <v>214</v>
      </c>
      <c r="B219" s="139">
        <f>C_S_Digital[[#This Row],[Proceso]]</f>
        <v>0</v>
      </c>
      <c r="C219" s="140" t="e">
        <f>C_S_Digital[[#This Row],[Código riesgo]]</f>
        <v>#VALUE!</v>
      </c>
      <c r="D219" s="175" t="str">
        <f>C_S_Digital[[#This Row],[Código control]]</f>
        <v/>
      </c>
      <c r="E219" s="164"/>
      <c r="F219" s="24"/>
      <c r="G219" s="164"/>
      <c r="H219" s="55"/>
      <c r="I219" s="55"/>
      <c r="J219" s="55"/>
      <c r="K219" s="55"/>
      <c r="L219" s="54"/>
      <c r="M219" s="22"/>
      <c r="N219" s="23"/>
      <c r="O219" s="56"/>
      <c r="P219" s="57"/>
      <c r="Q219" s="57"/>
      <c r="R219" s="58"/>
      <c r="S219" s="59"/>
      <c r="T219" s="60"/>
    </row>
    <row r="220" spans="1:20" ht="16.5" x14ac:dyDescent="0.25">
      <c r="A220" s="174">
        <f>C_S_Digital[[#This Row],[ID_C]]</f>
        <v>215</v>
      </c>
      <c r="B220" s="139">
        <f>C_S_Digital[[#This Row],[Proceso]]</f>
        <v>0</v>
      </c>
      <c r="C220" s="140" t="e">
        <f>C_S_Digital[[#This Row],[Código riesgo]]</f>
        <v>#VALUE!</v>
      </c>
      <c r="D220" s="175" t="str">
        <f>C_S_Digital[[#This Row],[Código control]]</f>
        <v/>
      </c>
      <c r="E220" s="164"/>
      <c r="F220" s="24"/>
      <c r="G220" s="164"/>
      <c r="H220" s="55"/>
      <c r="I220" s="55"/>
      <c r="J220" s="55"/>
      <c r="K220" s="55"/>
      <c r="L220" s="54"/>
      <c r="M220" s="22"/>
      <c r="N220" s="23"/>
      <c r="O220" s="56"/>
      <c r="P220" s="57"/>
      <c r="Q220" s="57"/>
      <c r="R220" s="58"/>
      <c r="S220" s="59"/>
      <c r="T220" s="60"/>
    </row>
    <row r="221" spans="1:20" ht="17.25" thickBot="1" x14ac:dyDescent="0.3">
      <c r="A221" s="176">
        <f>C_S_Digital[[#This Row],[ID_C]]</f>
        <v>216</v>
      </c>
      <c r="B221" s="177">
        <f>C_S_Digital[[#This Row],[Proceso]]</f>
        <v>0</v>
      </c>
      <c r="C221" s="178" t="e">
        <f>C_S_Digital[[#This Row],[Código riesgo]]</f>
        <v>#VALUE!</v>
      </c>
      <c r="D221" s="179" t="str">
        <f>C_S_Digital[[#This Row],[Código control]]</f>
        <v/>
      </c>
      <c r="E221" s="165"/>
      <c r="F221" s="33"/>
      <c r="G221" s="165"/>
      <c r="H221" s="62"/>
      <c r="I221" s="62"/>
      <c r="J221" s="62"/>
      <c r="K221" s="62"/>
      <c r="L221" s="61"/>
      <c r="M221" s="31"/>
      <c r="N221" s="32"/>
      <c r="O221" s="63"/>
      <c r="P221" s="64"/>
      <c r="Q221" s="64"/>
      <c r="R221" s="65"/>
      <c r="S221" s="66"/>
      <c r="T221" s="67"/>
    </row>
    <row r="222" spans="1:20" ht="16.5" x14ac:dyDescent="0.25">
      <c r="A222" s="170">
        <f>C_S_Digital[[#This Row],[ID_C]]</f>
        <v>217</v>
      </c>
      <c r="B222" s="171">
        <f>C_S_Digital[[#This Row],[Proceso]]</f>
        <v>0</v>
      </c>
      <c r="C222" s="172" t="e">
        <f>C_S_Digital[[#This Row],[Código riesgo]]</f>
        <v>#VALUE!</v>
      </c>
      <c r="D222" s="173" t="str">
        <f>C_S_Digital[[#This Row],[Código control]]</f>
        <v/>
      </c>
      <c r="E222" s="166"/>
      <c r="F222" s="16"/>
      <c r="G222" s="166"/>
      <c r="H222" s="69"/>
      <c r="I222" s="69"/>
      <c r="J222" s="69"/>
      <c r="K222" s="69"/>
      <c r="L222" s="68"/>
      <c r="M222" s="14"/>
      <c r="N222" s="15"/>
      <c r="O222" s="70"/>
      <c r="P222" s="71"/>
      <c r="Q222" s="71"/>
      <c r="R222" s="72"/>
      <c r="S222" s="73"/>
      <c r="T222" s="74"/>
    </row>
    <row r="223" spans="1:20" ht="16.5" x14ac:dyDescent="0.25">
      <c r="A223" s="174">
        <f>C_S_Digital[[#This Row],[ID_C]]</f>
        <v>218</v>
      </c>
      <c r="B223" s="139">
        <f>C_S_Digital[[#This Row],[Proceso]]</f>
        <v>0</v>
      </c>
      <c r="C223" s="140" t="e">
        <f>C_S_Digital[[#This Row],[Código riesgo]]</f>
        <v>#VALUE!</v>
      </c>
      <c r="D223" s="175" t="str">
        <f>C_S_Digital[[#This Row],[Código control]]</f>
        <v/>
      </c>
      <c r="E223" s="164"/>
      <c r="F223" s="24"/>
      <c r="G223" s="164"/>
      <c r="H223" s="55"/>
      <c r="I223" s="55"/>
      <c r="J223" s="55"/>
      <c r="K223" s="55"/>
      <c r="L223" s="54"/>
      <c r="M223" s="22"/>
      <c r="N223" s="23"/>
      <c r="O223" s="56"/>
      <c r="P223" s="57"/>
      <c r="Q223" s="57"/>
      <c r="R223" s="58"/>
      <c r="S223" s="59"/>
      <c r="T223" s="60"/>
    </row>
    <row r="224" spans="1:20" ht="16.5" x14ac:dyDescent="0.25">
      <c r="A224" s="174">
        <f>C_S_Digital[[#This Row],[ID_C]]</f>
        <v>219</v>
      </c>
      <c r="B224" s="139">
        <f>C_S_Digital[[#This Row],[Proceso]]</f>
        <v>0</v>
      </c>
      <c r="C224" s="140" t="e">
        <f>C_S_Digital[[#This Row],[Código riesgo]]</f>
        <v>#VALUE!</v>
      </c>
      <c r="D224" s="175" t="str">
        <f>C_S_Digital[[#This Row],[Código control]]</f>
        <v/>
      </c>
      <c r="E224" s="164"/>
      <c r="F224" s="24"/>
      <c r="G224" s="164"/>
      <c r="H224" s="55"/>
      <c r="I224" s="55"/>
      <c r="J224" s="55"/>
      <c r="K224" s="55"/>
      <c r="L224" s="54"/>
      <c r="M224" s="22"/>
      <c r="N224" s="23"/>
      <c r="O224" s="56"/>
      <c r="P224" s="57"/>
      <c r="Q224" s="57"/>
      <c r="R224" s="58"/>
      <c r="S224" s="59"/>
      <c r="T224" s="60"/>
    </row>
    <row r="225" spans="1:20" ht="16.5" x14ac:dyDescent="0.25">
      <c r="A225" s="174">
        <f>C_S_Digital[[#This Row],[ID_C]]</f>
        <v>220</v>
      </c>
      <c r="B225" s="139">
        <f>C_S_Digital[[#This Row],[Proceso]]</f>
        <v>0</v>
      </c>
      <c r="C225" s="140" t="e">
        <f>C_S_Digital[[#This Row],[Código riesgo]]</f>
        <v>#VALUE!</v>
      </c>
      <c r="D225" s="175" t="str">
        <f>C_S_Digital[[#This Row],[Código control]]</f>
        <v/>
      </c>
      <c r="E225" s="164"/>
      <c r="F225" s="24"/>
      <c r="G225" s="164"/>
      <c r="H225" s="55"/>
      <c r="I225" s="55"/>
      <c r="J225" s="55"/>
      <c r="K225" s="55"/>
      <c r="L225" s="54"/>
      <c r="M225" s="22"/>
      <c r="N225" s="23"/>
      <c r="O225" s="56"/>
      <c r="P225" s="57"/>
      <c r="Q225" s="57"/>
      <c r="R225" s="58"/>
      <c r="S225" s="59"/>
      <c r="T225" s="60"/>
    </row>
    <row r="226" spans="1:20" ht="16.5" x14ac:dyDescent="0.25">
      <c r="A226" s="174">
        <f>C_S_Digital[[#This Row],[ID_C]]</f>
        <v>221</v>
      </c>
      <c r="B226" s="139">
        <f>C_S_Digital[[#This Row],[Proceso]]</f>
        <v>0</v>
      </c>
      <c r="C226" s="140" t="e">
        <f>C_S_Digital[[#This Row],[Código riesgo]]</f>
        <v>#VALUE!</v>
      </c>
      <c r="D226" s="175" t="str">
        <f>C_S_Digital[[#This Row],[Código control]]</f>
        <v/>
      </c>
      <c r="E226" s="164"/>
      <c r="F226" s="24"/>
      <c r="G226" s="164"/>
      <c r="H226" s="55"/>
      <c r="I226" s="55"/>
      <c r="J226" s="55"/>
      <c r="K226" s="55"/>
      <c r="L226" s="54"/>
      <c r="M226" s="22"/>
      <c r="N226" s="23"/>
      <c r="O226" s="56"/>
      <c r="P226" s="57"/>
      <c r="Q226" s="57"/>
      <c r="R226" s="58"/>
      <c r="S226" s="59"/>
      <c r="T226" s="60"/>
    </row>
    <row r="227" spans="1:20" ht="17.25" thickBot="1" x14ac:dyDescent="0.3">
      <c r="A227" s="176">
        <f>C_S_Digital[[#This Row],[ID_C]]</f>
        <v>222</v>
      </c>
      <c r="B227" s="177">
        <f>C_S_Digital[[#This Row],[Proceso]]</f>
        <v>0</v>
      </c>
      <c r="C227" s="178" t="e">
        <f>C_S_Digital[[#This Row],[Código riesgo]]</f>
        <v>#VALUE!</v>
      </c>
      <c r="D227" s="179" t="str">
        <f>C_S_Digital[[#This Row],[Código control]]</f>
        <v/>
      </c>
      <c r="E227" s="165"/>
      <c r="F227" s="33"/>
      <c r="G227" s="165"/>
      <c r="H227" s="62"/>
      <c r="I227" s="62"/>
      <c r="J227" s="62"/>
      <c r="K227" s="62"/>
      <c r="L227" s="61"/>
      <c r="M227" s="31"/>
      <c r="N227" s="32"/>
      <c r="O227" s="63"/>
      <c r="P227" s="64"/>
      <c r="Q227" s="64"/>
      <c r="R227" s="65"/>
      <c r="S227" s="66"/>
      <c r="T227" s="67"/>
    </row>
    <row r="228" spans="1:20" ht="16.5" x14ac:dyDescent="0.25">
      <c r="A228" s="170">
        <f>C_S_Digital[[#This Row],[ID_C]]</f>
        <v>223</v>
      </c>
      <c r="B228" s="171">
        <f>C_S_Digital[[#This Row],[Proceso]]</f>
        <v>0</v>
      </c>
      <c r="C228" s="172" t="e">
        <f>C_S_Digital[[#This Row],[Código riesgo]]</f>
        <v>#VALUE!</v>
      </c>
      <c r="D228" s="173" t="str">
        <f>C_S_Digital[[#This Row],[Código control]]</f>
        <v/>
      </c>
      <c r="E228" s="166"/>
      <c r="F228" s="16"/>
      <c r="G228" s="166"/>
      <c r="H228" s="69"/>
      <c r="I228" s="69"/>
      <c r="J228" s="69"/>
      <c r="K228" s="69"/>
      <c r="L228" s="68"/>
      <c r="M228" s="14"/>
      <c r="N228" s="15"/>
      <c r="O228" s="70"/>
      <c r="P228" s="71"/>
      <c r="Q228" s="71"/>
      <c r="R228" s="72"/>
      <c r="S228" s="73"/>
      <c r="T228" s="74"/>
    </row>
    <row r="229" spans="1:20" ht="16.5" x14ac:dyDescent="0.25">
      <c r="A229" s="174">
        <f>C_S_Digital[[#This Row],[ID_C]]</f>
        <v>224</v>
      </c>
      <c r="B229" s="139">
        <f>C_S_Digital[[#This Row],[Proceso]]</f>
        <v>0</v>
      </c>
      <c r="C229" s="140" t="e">
        <f>C_S_Digital[[#This Row],[Código riesgo]]</f>
        <v>#VALUE!</v>
      </c>
      <c r="D229" s="175" t="str">
        <f>C_S_Digital[[#This Row],[Código control]]</f>
        <v/>
      </c>
      <c r="E229" s="164"/>
      <c r="F229" s="24"/>
      <c r="G229" s="164"/>
      <c r="H229" s="55"/>
      <c r="I229" s="55"/>
      <c r="J229" s="55"/>
      <c r="K229" s="55"/>
      <c r="L229" s="54"/>
      <c r="M229" s="22"/>
      <c r="N229" s="23"/>
      <c r="O229" s="56"/>
      <c r="P229" s="57"/>
      <c r="Q229" s="57"/>
      <c r="R229" s="58"/>
      <c r="S229" s="59"/>
      <c r="T229" s="60"/>
    </row>
    <row r="230" spans="1:20" ht="16.5" x14ac:dyDescent="0.25">
      <c r="A230" s="174">
        <f>C_S_Digital[[#This Row],[ID_C]]</f>
        <v>225</v>
      </c>
      <c r="B230" s="139">
        <f>C_S_Digital[[#This Row],[Proceso]]</f>
        <v>0</v>
      </c>
      <c r="C230" s="140" t="e">
        <f>C_S_Digital[[#This Row],[Código riesgo]]</f>
        <v>#VALUE!</v>
      </c>
      <c r="D230" s="175" t="str">
        <f>C_S_Digital[[#This Row],[Código control]]</f>
        <v/>
      </c>
      <c r="E230" s="164"/>
      <c r="F230" s="24"/>
      <c r="G230" s="164"/>
      <c r="H230" s="55"/>
      <c r="I230" s="55"/>
      <c r="J230" s="55"/>
      <c r="K230" s="55"/>
      <c r="L230" s="54"/>
      <c r="M230" s="22"/>
      <c r="N230" s="23"/>
      <c r="O230" s="56"/>
      <c r="P230" s="57"/>
      <c r="Q230" s="57"/>
      <c r="R230" s="58"/>
      <c r="S230" s="59"/>
      <c r="T230" s="60"/>
    </row>
    <row r="231" spans="1:20" ht="16.5" x14ac:dyDescent="0.25">
      <c r="A231" s="174">
        <f>C_S_Digital[[#This Row],[ID_C]]</f>
        <v>226</v>
      </c>
      <c r="B231" s="139">
        <f>C_S_Digital[[#This Row],[Proceso]]</f>
        <v>0</v>
      </c>
      <c r="C231" s="140" t="e">
        <f>C_S_Digital[[#This Row],[Código riesgo]]</f>
        <v>#VALUE!</v>
      </c>
      <c r="D231" s="175" t="str">
        <f>C_S_Digital[[#This Row],[Código control]]</f>
        <v/>
      </c>
      <c r="E231" s="164"/>
      <c r="F231" s="24"/>
      <c r="G231" s="164"/>
      <c r="H231" s="55"/>
      <c r="I231" s="55"/>
      <c r="J231" s="55"/>
      <c r="K231" s="55"/>
      <c r="L231" s="54"/>
      <c r="M231" s="22"/>
      <c r="N231" s="23"/>
      <c r="O231" s="56"/>
      <c r="P231" s="57"/>
      <c r="Q231" s="57"/>
      <c r="R231" s="58"/>
      <c r="S231" s="59"/>
      <c r="T231" s="60"/>
    </row>
    <row r="232" spans="1:20" ht="16.5" x14ac:dyDescent="0.25">
      <c r="A232" s="174">
        <f>C_S_Digital[[#This Row],[ID_C]]</f>
        <v>227</v>
      </c>
      <c r="B232" s="139">
        <f>C_S_Digital[[#This Row],[Proceso]]</f>
        <v>0</v>
      </c>
      <c r="C232" s="140" t="e">
        <f>C_S_Digital[[#This Row],[Código riesgo]]</f>
        <v>#VALUE!</v>
      </c>
      <c r="D232" s="175" t="str">
        <f>C_S_Digital[[#This Row],[Código control]]</f>
        <v/>
      </c>
      <c r="E232" s="164"/>
      <c r="F232" s="24"/>
      <c r="G232" s="164"/>
      <c r="H232" s="55"/>
      <c r="I232" s="55"/>
      <c r="J232" s="55"/>
      <c r="K232" s="55"/>
      <c r="L232" s="54"/>
      <c r="M232" s="22"/>
      <c r="N232" s="23"/>
      <c r="O232" s="56"/>
      <c r="P232" s="57"/>
      <c r="Q232" s="57"/>
      <c r="R232" s="58"/>
      <c r="S232" s="59"/>
      <c r="T232" s="60"/>
    </row>
    <row r="233" spans="1:20" ht="17.25" thickBot="1" x14ac:dyDescent="0.3">
      <c r="A233" s="176">
        <f>C_S_Digital[[#This Row],[ID_C]]</f>
        <v>228</v>
      </c>
      <c r="B233" s="177">
        <f>C_S_Digital[[#This Row],[Proceso]]</f>
        <v>0</v>
      </c>
      <c r="C233" s="178" t="e">
        <f>C_S_Digital[[#This Row],[Código riesgo]]</f>
        <v>#VALUE!</v>
      </c>
      <c r="D233" s="179" t="str">
        <f>C_S_Digital[[#This Row],[Código control]]</f>
        <v/>
      </c>
      <c r="E233" s="165"/>
      <c r="F233" s="33"/>
      <c r="G233" s="165"/>
      <c r="H233" s="62"/>
      <c r="I233" s="62"/>
      <c r="J233" s="62"/>
      <c r="K233" s="62"/>
      <c r="L233" s="61"/>
      <c r="M233" s="31"/>
      <c r="N233" s="32"/>
      <c r="O233" s="63"/>
      <c r="P233" s="64"/>
      <c r="Q233" s="64"/>
      <c r="R233" s="65"/>
      <c r="S233" s="66"/>
      <c r="T233" s="67"/>
    </row>
    <row r="234" spans="1:20" ht="16.5" x14ac:dyDescent="0.25">
      <c r="A234" s="170">
        <f>C_S_Digital[[#This Row],[ID_C]]</f>
        <v>229</v>
      </c>
      <c r="B234" s="171">
        <f>C_S_Digital[[#This Row],[Proceso]]</f>
        <v>0</v>
      </c>
      <c r="C234" s="172" t="e">
        <f>C_S_Digital[[#This Row],[Código riesgo]]</f>
        <v>#VALUE!</v>
      </c>
      <c r="D234" s="173" t="str">
        <f>C_S_Digital[[#This Row],[Código control]]</f>
        <v/>
      </c>
      <c r="E234" s="166"/>
      <c r="F234" s="16"/>
      <c r="G234" s="166"/>
      <c r="H234" s="69"/>
      <c r="I234" s="69"/>
      <c r="J234" s="69"/>
      <c r="K234" s="69"/>
      <c r="L234" s="68"/>
      <c r="M234" s="14"/>
      <c r="N234" s="15"/>
      <c r="O234" s="70"/>
      <c r="P234" s="71"/>
      <c r="Q234" s="71"/>
      <c r="R234" s="72"/>
      <c r="S234" s="73"/>
      <c r="T234" s="74"/>
    </row>
    <row r="235" spans="1:20" ht="16.5" x14ac:dyDescent="0.25">
      <c r="A235" s="174">
        <f>C_S_Digital[[#This Row],[ID_C]]</f>
        <v>230</v>
      </c>
      <c r="B235" s="139">
        <f>C_S_Digital[[#This Row],[Proceso]]</f>
        <v>0</v>
      </c>
      <c r="C235" s="140" t="e">
        <f>C_S_Digital[[#This Row],[Código riesgo]]</f>
        <v>#VALUE!</v>
      </c>
      <c r="D235" s="175" t="str">
        <f>C_S_Digital[[#This Row],[Código control]]</f>
        <v/>
      </c>
      <c r="E235" s="164"/>
      <c r="F235" s="24"/>
      <c r="G235" s="164"/>
      <c r="H235" s="55"/>
      <c r="I235" s="55"/>
      <c r="J235" s="55"/>
      <c r="K235" s="55"/>
      <c r="L235" s="54"/>
      <c r="M235" s="22"/>
      <c r="N235" s="23"/>
      <c r="O235" s="56"/>
      <c r="P235" s="57"/>
      <c r="Q235" s="57"/>
      <c r="R235" s="58"/>
      <c r="S235" s="59"/>
      <c r="T235" s="60"/>
    </row>
    <row r="236" spans="1:20" ht="16.5" x14ac:dyDescent="0.25">
      <c r="A236" s="174">
        <f>C_S_Digital[[#This Row],[ID_C]]</f>
        <v>231</v>
      </c>
      <c r="B236" s="139">
        <f>C_S_Digital[[#This Row],[Proceso]]</f>
        <v>0</v>
      </c>
      <c r="C236" s="140" t="e">
        <f>C_S_Digital[[#This Row],[Código riesgo]]</f>
        <v>#VALUE!</v>
      </c>
      <c r="D236" s="175" t="str">
        <f>C_S_Digital[[#This Row],[Código control]]</f>
        <v/>
      </c>
      <c r="E236" s="164"/>
      <c r="F236" s="24"/>
      <c r="G236" s="164"/>
      <c r="H236" s="55"/>
      <c r="I236" s="55"/>
      <c r="J236" s="55"/>
      <c r="K236" s="55"/>
      <c r="L236" s="54"/>
      <c r="M236" s="22"/>
      <c r="N236" s="23"/>
      <c r="O236" s="56"/>
      <c r="P236" s="57"/>
      <c r="Q236" s="57"/>
      <c r="R236" s="58"/>
      <c r="S236" s="59"/>
      <c r="T236" s="60"/>
    </row>
    <row r="237" spans="1:20" ht="16.5" x14ac:dyDescent="0.25">
      <c r="A237" s="174">
        <f>C_S_Digital[[#This Row],[ID_C]]</f>
        <v>232</v>
      </c>
      <c r="B237" s="139">
        <f>C_S_Digital[[#This Row],[Proceso]]</f>
        <v>0</v>
      </c>
      <c r="C237" s="140" t="e">
        <f>C_S_Digital[[#This Row],[Código riesgo]]</f>
        <v>#VALUE!</v>
      </c>
      <c r="D237" s="175" t="str">
        <f>C_S_Digital[[#This Row],[Código control]]</f>
        <v/>
      </c>
      <c r="E237" s="164"/>
      <c r="F237" s="24"/>
      <c r="G237" s="164"/>
      <c r="H237" s="55"/>
      <c r="I237" s="55"/>
      <c r="J237" s="55"/>
      <c r="K237" s="55"/>
      <c r="L237" s="54"/>
      <c r="M237" s="22"/>
      <c r="N237" s="23"/>
      <c r="O237" s="56"/>
      <c r="P237" s="57"/>
      <c r="Q237" s="57"/>
      <c r="R237" s="58"/>
      <c r="S237" s="59"/>
      <c r="T237" s="60"/>
    </row>
    <row r="238" spans="1:20" ht="16.5" x14ac:dyDescent="0.25">
      <c r="A238" s="174">
        <f>C_S_Digital[[#This Row],[ID_C]]</f>
        <v>233</v>
      </c>
      <c r="B238" s="139">
        <f>C_S_Digital[[#This Row],[Proceso]]</f>
        <v>0</v>
      </c>
      <c r="C238" s="140" t="e">
        <f>C_S_Digital[[#This Row],[Código riesgo]]</f>
        <v>#VALUE!</v>
      </c>
      <c r="D238" s="175" t="str">
        <f>C_S_Digital[[#This Row],[Código control]]</f>
        <v/>
      </c>
      <c r="E238" s="164"/>
      <c r="F238" s="24"/>
      <c r="G238" s="164"/>
      <c r="H238" s="55"/>
      <c r="I238" s="55"/>
      <c r="J238" s="55"/>
      <c r="K238" s="55"/>
      <c r="L238" s="54"/>
      <c r="M238" s="22"/>
      <c r="N238" s="23"/>
      <c r="O238" s="56"/>
      <c r="P238" s="57"/>
      <c r="Q238" s="57"/>
      <c r="R238" s="58"/>
      <c r="S238" s="59"/>
      <c r="T238" s="60"/>
    </row>
    <row r="239" spans="1:20" ht="17.25" thickBot="1" x14ac:dyDescent="0.3">
      <c r="A239" s="176">
        <f>C_S_Digital[[#This Row],[ID_C]]</f>
        <v>234</v>
      </c>
      <c r="B239" s="177">
        <f>C_S_Digital[[#This Row],[Proceso]]</f>
        <v>0</v>
      </c>
      <c r="C239" s="178" t="e">
        <f>C_S_Digital[[#This Row],[Código riesgo]]</f>
        <v>#VALUE!</v>
      </c>
      <c r="D239" s="179" t="str">
        <f>C_S_Digital[[#This Row],[Código control]]</f>
        <v/>
      </c>
      <c r="E239" s="165"/>
      <c r="F239" s="33"/>
      <c r="G239" s="165"/>
      <c r="H239" s="62"/>
      <c r="I239" s="62"/>
      <c r="J239" s="62"/>
      <c r="K239" s="62"/>
      <c r="L239" s="61"/>
      <c r="M239" s="31"/>
      <c r="N239" s="32"/>
      <c r="O239" s="63"/>
      <c r="P239" s="64"/>
      <c r="Q239" s="64"/>
      <c r="R239" s="65"/>
      <c r="S239" s="66"/>
      <c r="T239" s="67"/>
    </row>
    <row r="240" spans="1:20" ht="16.5" x14ac:dyDescent="0.25">
      <c r="A240" s="170">
        <f>C_S_Digital[[#This Row],[ID_C]]</f>
        <v>235</v>
      </c>
      <c r="B240" s="171">
        <f>C_S_Digital[[#This Row],[Proceso]]</f>
        <v>0</v>
      </c>
      <c r="C240" s="172" t="e">
        <f>C_S_Digital[[#This Row],[Código riesgo]]</f>
        <v>#VALUE!</v>
      </c>
      <c r="D240" s="173" t="str">
        <f>C_S_Digital[[#This Row],[Código control]]</f>
        <v/>
      </c>
      <c r="E240" s="166"/>
      <c r="F240" s="16"/>
      <c r="G240" s="166"/>
      <c r="H240" s="69"/>
      <c r="I240" s="69"/>
      <c r="J240" s="69"/>
      <c r="K240" s="69"/>
      <c r="L240" s="68"/>
      <c r="M240" s="14"/>
      <c r="N240" s="15"/>
      <c r="O240" s="70"/>
      <c r="P240" s="71"/>
      <c r="Q240" s="71"/>
      <c r="R240" s="72"/>
      <c r="S240" s="73"/>
      <c r="T240" s="74"/>
    </row>
    <row r="241" spans="1:20" ht="16.5" x14ac:dyDescent="0.25">
      <c r="A241" s="174">
        <f>C_S_Digital[[#This Row],[ID_C]]</f>
        <v>236</v>
      </c>
      <c r="B241" s="139">
        <f>C_S_Digital[[#This Row],[Proceso]]</f>
        <v>0</v>
      </c>
      <c r="C241" s="140" t="e">
        <f>C_S_Digital[[#This Row],[Código riesgo]]</f>
        <v>#VALUE!</v>
      </c>
      <c r="D241" s="175" t="str">
        <f>C_S_Digital[[#This Row],[Código control]]</f>
        <v/>
      </c>
      <c r="E241" s="164"/>
      <c r="F241" s="24"/>
      <c r="G241" s="164"/>
      <c r="H241" s="55"/>
      <c r="I241" s="55"/>
      <c r="J241" s="55"/>
      <c r="K241" s="55"/>
      <c r="L241" s="54"/>
      <c r="M241" s="22"/>
      <c r="N241" s="23"/>
      <c r="O241" s="56"/>
      <c r="P241" s="57"/>
      <c r="Q241" s="57"/>
      <c r="R241" s="58"/>
      <c r="S241" s="59"/>
      <c r="T241" s="60"/>
    </row>
    <row r="242" spans="1:20" ht="16.5" x14ac:dyDescent="0.25">
      <c r="A242" s="174">
        <f>C_S_Digital[[#This Row],[ID_C]]</f>
        <v>237</v>
      </c>
      <c r="B242" s="139">
        <f>C_S_Digital[[#This Row],[Proceso]]</f>
        <v>0</v>
      </c>
      <c r="C242" s="140" t="e">
        <f>C_S_Digital[[#This Row],[Código riesgo]]</f>
        <v>#VALUE!</v>
      </c>
      <c r="D242" s="175" t="str">
        <f>C_S_Digital[[#This Row],[Código control]]</f>
        <v/>
      </c>
      <c r="E242" s="164"/>
      <c r="F242" s="24"/>
      <c r="G242" s="164"/>
      <c r="H242" s="55"/>
      <c r="I242" s="55"/>
      <c r="J242" s="55"/>
      <c r="K242" s="55"/>
      <c r="L242" s="54"/>
      <c r="M242" s="22"/>
      <c r="N242" s="23"/>
      <c r="O242" s="56"/>
      <c r="P242" s="57"/>
      <c r="Q242" s="57"/>
      <c r="R242" s="58"/>
      <c r="S242" s="59"/>
      <c r="T242" s="60"/>
    </row>
    <row r="243" spans="1:20" ht="16.5" x14ac:dyDescent="0.25">
      <c r="A243" s="174">
        <f>C_S_Digital[[#This Row],[ID_C]]</f>
        <v>238</v>
      </c>
      <c r="B243" s="139">
        <f>C_S_Digital[[#This Row],[Proceso]]</f>
        <v>0</v>
      </c>
      <c r="C243" s="140" t="e">
        <f>C_S_Digital[[#This Row],[Código riesgo]]</f>
        <v>#VALUE!</v>
      </c>
      <c r="D243" s="175" t="str">
        <f>C_S_Digital[[#This Row],[Código control]]</f>
        <v/>
      </c>
      <c r="E243" s="164"/>
      <c r="F243" s="24"/>
      <c r="G243" s="164"/>
      <c r="H243" s="55"/>
      <c r="I243" s="55"/>
      <c r="J243" s="55"/>
      <c r="K243" s="55"/>
      <c r="L243" s="54"/>
      <c r="M243" s="22"/>
      <c r="N243" s="23"/>
      <c r="O243" s="56"/>
      <c r="P243" s="57"/>
      <c r="Q243" s="57"/>
      <c r="R243" s="58"/>
      <c r="S243" s="59"/>
      <c r="T243" s="60"/>
    </row>
    <row r="244" spans="1:20" ht="16.5" x14ac:dyDescent="0.25">
      <c r="A244" s="174">
        <f>C_S_Digital[[#This Row],[ID_C]]</f>
        <v>239</v>
      </c>
      <c r="B244" s="139">
        <f>C_S_Digital[[#This Row],[Proceso]]</f>
        <v>0</v>
      </c>
      <c r="C244" s="140" t="e">
        <f>C_S_Digital[[#This Row],[Código riesgo]]</f>
        <v>#VALUE!</v>
      </c>
      <c r="D244" s="175" t="str">
        <f>C_S_Digital[[#This Row],[Código control]]</f>
        <v/>
      </c>
      <c r="E244" s="164"/>
      <c r="F244" s="24"/>
      <c r="G244" s="164"/>
      <c r="H244" s="55"/>
      <c r="I244" s="55"/>
      <c r="J244" s="55"/>
      <c r="K244" s="55"/>
      <c r="L244" s="54"/>
      <c r="M244" s="22"/>
      <c r="N244" s="23"/>
      <c r="O244" s="56"/>
      <c r="P244" s="57"/>
      <c r="Q244" s="57"/>
      <c r="R244" s="58"/>
      <c r="S244" s="59"/>
      <c r="T244" s="60"/>
    </row>
    <row r="245" spans="1:20" ht="17.25" thickBot="1" x14ac:dyDescent="0.3">
      <c r="A245" s="176">
        <f>C_S_Digital[[#This Row],[ID_C]]</f>
        <v>240</v>
      </c>
      <c r="B245" s="177">
        <f>C_S_Digital[[#This Row],[Proceso]]</f>
        <v>0</v>
      </c>
      <c r="C245" s="178" t="e">
        <f>C_S_Digital[[#This Row],[Código riesgo]]</f>
        <v>#VALUE!</v>
      </c>
      <c r="D245" s="179" t="str">
        <f>C_S_Digital[[#This Row],[Código control]]</f>
        <v/>
      </c>
      <c r="E245" s="165"/>
      <c r="F245" s="33"/>
      <c r="G245" s="165"/>
      <c r="H245" s="62"/>
      <c r="I245" s="62"/>
      <c r="J245" s="62"/>
      <c r="K245" s="62"/>
      <c r="L245" s="61"/>
      <c r="M245" s="31"/>
      <c r="N245" s="32"/>
      <c r="O245" s="63"/>
      <c r="P245" s="64"/>
      <c r="Q245" s="64"/>
      <c r="R245" s="65"/>
      <c r="S245" s="66"/>
      <c r="T245" s="67"/>
    </row>
    <row r="246" spans="1:20" ht="16.5" x14ac:dyDescent="0.25">
      <c r="A246" s="170">
        <f>C_S_Digital[[#This Row],[ID_C]]</f>
        <v>241</v>
      </c>
      <c r="B246" s="171">
        <f>C_S_Digital[[#This Row],[Proceso]]</f>
        <v>0</v>
      </c>
      <c r="C246" s="172" t="e">
        <f>C_S_Digital[[#This Row],[Código riesgo]]</f>
        <v>#VALUE!</v>
      </c>
      <c r="D246" s="173" t="str">
        <f>C_S_Digital[[#This Row],[Código control]]</f>
        <v/>
      </c>
      <c r="E246" s="166"/>
      <c r="F246" s="16"/>
      <c r="G246" s="166"/>
      <c r="H246" s="69"/>
      <c r="I246" s="69"/>
      <c r="J246" s="69"/>
      <c r="K246" s="69"/>
      <c r="L246" s="68"/>
      <c r="M246" s="14"/>
      <c r="N246" s="15"/>
      <c r="O246" s="70"/>
      <c r="P246" s="71"/>
      <c r="Q246" s="71"/>
      <c r="R246" s="72"/>
      <c r="S246" s="73"/>
      <c r="T246" s="74"/>
    </row>
    <row r="247" spans="1:20" ht="16.5" x14ac:dyDescent="0.25">
      <c r="A247" s="174">
        <f>C_S_Digital[[#This Row],[ID_C]]</f>
        <v>242</v>
      </c>
      <c r="B247" s="139">
        <f>C_S_Digital[[#This Row],[Proceso]]</f>
        <v>0</v>
      </c>
      <c r="C247" s="140" t="e">
        <f>C_S_Digital[[#This Row],[Código riesgo]]</f>
        <v>#VALUE!</v>
      </c>
      <c r="D247" s="175" t="str">
        <f>C_S_Digital[[#This Row],[Código control]]</f>
        <v/>
      </c>
      <c r="E247" s="164"/>
      <c r="F247" s="24"/>
      <c r="G247" s="164"/>
      <c r="H247" s="55"/>
      <c r="I247" s="55"/>
      <c r="J247" s="55"/>
      <c r="K247" s="55"/>
      <c r="L247" s="54"/>
      <c r="M247" s="22"/>
      <c r="N247" s="23"/>
      <c r="O247" s="56"/>
      <c r="P247" s="57"/>
      <c r="Q247" s="57"/>
      <c r="R247" s="58"/>
      <c r="S247" s="59"/>
      <c r="T247" s="60"/>
    </row>
    <row r="248" spans="1:20" ht="16.5" x14ac:dyDescent="0.25">
      <c r="A248" s="174">
        <f>C_S_Digital[[#This Row],[ID_C]]</f>
        <v>243</v>
      </c>
      <c r="B248" s="139">
        <f>C_S_Digital[[#This Row],[Proceso]]</f>
        <v>0</v>
      </c>
      <c r="C248" s="140" t="e">
        <f>C_S_Digital[[#This Row],[Código riesgo]]</f>
        <v>#VALUE!</v>
      </c>
      <c r="D248" s="175" t="str">
        <f>C_S_Digital[[#This Row],[Código control]]</f>
        <v/>
      </c>
      <c r="E248" s="164"/>
      <c r="F248" s="24"/>
      <c r="G248" s="164"/>
      <c r="H248" s="55"/>
      <c r="I248" s="55"/>
      <c r="J248" s="55"/>
      <c r="K248" s="55"/>
      <c r="L248" s="54"/>
      <c r="M248" s="22"/>
      <c r="N248" s="23"/>
      <c r="O248" s="56"/>
      <c r="P248" s="57"/>
      <c r="Q248" s="57"/>
      <c r="R248" s="58"/>
      <c r="S248" s="59"/>
      <c r="T248" s="60"/>
    </row>
    <row r="249" spans="1:20" ht="16.5" x14ac:dyDescent="0.25">
      <c r="A249" s="174">
        <f>C_S_Digital[[#This Row],[ID_C]]</f>
        <v>244</v>
      </c>
      <c r="B249" s="139">
        <f>C_S_Digital[[#This Row],[Proceso]]</f>
        <v>0</v>
      </c>
      <c r="C249" s="140" t="e">
        <f>C_S_Digital[[#This Row],[Código riesgo]]</f>
        <v>#VALUE!</v>
      </c>
      <c r="D249" s="175" t="str">
        <f>C_S_Digital[[#This Row],[Código control]]</f>
        <v/>
      </c>
      <c r="E249" s="164"/>
      <c r="F249" s="24"/>
      <c r="G249" s="164"/>
      <c r="H249" s="55"/>
      <c r="I249" s="55"/>
      <c r="J249" s="55"/>
      <c r="K249" s="55"/>
      <c r="L249" s="54"/>
      <c r="M249" s="22"/>
      <c r="N249" s="23"/>
      <c r="O249" s="56"/>
      <c r="P249" s="57"/>
      <c r="Q249" s="57"/>
      <c r="R249" s="58"/>
      <c r="S249" s="59"/>
      <c r="T249" s="60"/>
    </row>
    <row r="250" spans="1:20" ht="16.5" x14ac:dyDescent="0.25">
      <c r="A250" s="174">
        <f>C_S_Digital[[#This Row],[ID_C]]</f>
        <v>245</v>
      </c>
      <c r="B250" s="139">
        <f>C_S_Digital[[#This Row],[Proceso]]</f>
        <v>0</v>
      </c>
      <c r="C250" s="140" t="e">
        <f>C_S_Digital[[#This Row],[Código riesgo]]</f>
        <v>#VALUE!</v>
      </c>
      <c r="D250" s="175" t="str">
        <f>C_S_Digital[[#This Row],[Código control]]</f>
        <v/>
      </c>
      <c r="E250" s="164"/>
      <c r="F250" s="24"/>
      <c r="G250" s="164"/>
      <c r="H250" s="55"/>
      <c r="I250" s="55"/>
      <c r="J250" s="55"/>
      <c r="K250" s="55"/>
      <c r="L250" s="54"/>
      <c r="M250" s="22"/>
      <c r="N250" s="23"/>
      <c r="O250" s="56"/>
      <c r="P250" s="57"/>
      <c r="Q250" s="57"/>
      <c r="R250" s="58"/>
      <c r="S250" s="59"/>
      <c r="T250" s="60"/>
    </row>
    <row r="251" spans="1:20" ht="17.25" thickBot="1" x14ac:dyDescent="0.3">
      <c r="A251" s="176">
        <f>C_S_Digital[[#This Row],[ID_C]]</f>
        <v>246</v>
      </c>
      <c r="B251" s="177">
        <f>C_S_Digital[[#This Row],[Proceso]]</f>
        <v>0</v>
      </c>
      <c r="C251" s="178" t="e">
        <f>C_S_Digital[[#This Row],[Código riesgo]]</f>
        <v>#VALUE!</v>
      </c>
      <c r="D251" s="179" t="str">
        <f>C_S_Digital[[#This Row],[Código control]]</f>
        <v/>
      </c>
      <c r="E251" s="165"/>
      <c r="F251" s="33"/>
      <c r="G251" s="165"/>
      <c r="H251" s="62"/>
      <c r="I251" s="62"/>
      <c r="J251" s="62"/>
      <c r="K251" s="62"/>
      <c r="L251" s="61"/>
      <c r="M251" s="31"/>
      <c r="N251" s="32"/>
      <c r="O251" s="63"/>
      <c r="P251" s="64"/>
      <c r="Q251" s="64"/>
      <c r="R251" s="65"/>
      <c r="S251" s="66"/>
      <c r="T251" s="67"/>
    </row>
    <row r="252" spans="1:20" ht="16.5" x14ac:dyDescent="0.25">
      <c r="A252" s="170">
        <f>C_S_Digital[[#This Row],[ID_C]]</f>
        <v>247</v>
      </c>
      <c r="B252" s="171">
        <f>C_S_Digital[[#This Row],[Proceso]]</f>
        <v>0</v>
      </c>
      <c r="C252" s="172" t="e">
        <f>C_S_Digital[[#This Row],[Código riesgo]]</f>
        <v>#VALUE!</v>
      </c>
      <c r="D252" s="173" t="str">
        <f>C_S_Digital[[#This Row],[Código control]]</f>
        <v/>
      </c>
      <c r="E252" s="166"/>
      <c r="F252" s="16"/>
      <c r="G252" s="166"/>
      <c r="H252" s="69"/>
      <c r="I252" s="69"/>
      <c r="J252" s="69"/>
      <c r="K252" s="69"/>
      <c r="L252" s="68"/>
      <c r="M252" s="14"/>
      <c r="N252" s="15"/>
      <c r="O252" s="70"/>
      <c r="P252" s="71"/>
      <c r="Q252" s="71"/>
      <c r="R252" s="72"/>
      <c r="S252" s="73"/>
      <c r="T252" s="74"/>
    </row>
    <row r="253" spans="1:20" ht="16.5" x14ac:dyDescent="0.25">
      <c r="A253" s="174">
        <f>C_S_Digital[[#This Row],[ID_C]]</f>
        <v>248</v>
      </c>
      <c r="B253" s="139">
        <f>C_S_Digital[[#This Row],[Proceso]]</f>
        <v>0</v>
      </c>
      <c r="C253" s="140" t="e">
        <f>C_S_Digital[[#This Row],[Código riesgo]]</f>
        <v>#VALUE!</v>
      </c>
      <c r="D253" s="175" t="str">
        <f>C_S_Digital[[#This Row],[Código control]]</f>
        <v/>
      </c>
      <c r="E253" s="164"/>
      <c r="F253" s="24"/>
      <c r="G253" s="164"/>
      <c r="H253" s="55"/>
      <c r="I253" s="55"/>
      <c r="J253" s="55"/>
      <c r="K253" s="55"/>
      <c r="L253" s="54"/>
      <c r="M253" s="22"/>
      <c r="N253" s="23"/>
      <c r="O253" s="56"/>
      <c r="P253" s="57"/>
      <c r="Q253" s="57"/>
      <c r="R253" s="58"/>
      <c r="S253" s="59"/>
      <c r="T253" s="60"/>
    </row>
    <row r="254" spans="1:20" ht="16.5" x14ac:dyDescent="0.25">
      <c r="A254" s="174">
        <f>C_S_Digital[[#This Row],[ID_C]]</f>
        <v>249</v>
      </c>
      <c r="B254" s="139">
        <f>C_S_Digital[[#This Row],[Proceso]]</f>
        <v>0</v>
      </c>
      <c r="C254" s="140" t="e">
        <f>C_S_Digital[[#This Row],[Código riesgo]]</f>
        <v>#VALUE!</v>
      </c>
      <c r="D254" s="175" t="str">
        <f>C_S_Digital[[#This Row],[Código control]]</f>
        <v/>
      </c>
      <c r="E254" s="164"/>
      <c r="F254" s="24"/>
      <c r="G254" s="164"/>
      <c r="H254" s="55"/>
      <c r="I254" s="55"/>
      <c r="J254" s="55"/>
      <c r="K254" s="55"/>
      <c r="L254" s="54"/>
      <c r="M254" s="22"/>
      <c r="N254" s="23"/>
      <c r="O254" s="56"/>
      <c r="P254" s="57"/>
      <c r="Q254" s="57"/>
      <c r="R254" s="58"/>
      <c r="S254" s="59"/>
      <c r="T254" s="60"/>
    </row>
    <row r="255" spans="1:20" ht="16.5" x14ac:dyDescent="0.25">
      <c r="A255" s="174">
        <f>C_S_Digital[[#This Row],[ID_C]]</f>
        <v>250</v>
      </c>
      <c r="B255" s="139">
        <f>C_S_Digital[[#This Row],[Proceso]]</f>
        <v>0</v>
      </c>
      <c r="C255" s="140" t="e">
        <f>C_S_Digital[[#This Row],[Código riesgo]]</f>
        <v>#VALUE!</v>
      </c>
      <c r="D255" s="175" t="str">
        <f>C_S_Digital[[#This Row],[Código control]]</f>
        <v/>
      </c>
      <c r="E255" s="164"/>
      <c r="F255" s="24"/>
      <c r="G255" s="164"/>
      <c r="H255" s="55"/>
      <c r="I255" s="55"/>
      <c r="J255" s="55"/>
      <c r="K255" s="55"/>
      <c r="L255" s="54"/>
      <c r="M255" s="22"/>
      <c r="N255" s="23"/>
      <c r="O255" s="56"/>
      <c r="P255" s="57"/>
      <c r="Q255" s="57"/>
      <c r="R255" s="58"/>
      <c r="S255" s="59"/>
      <c r="T255" s="60"/>
    </row>
    <row r="256" spans="1:20" ht="16.5" x14ac:dyDescent="0.25">
      <c r="A256" s="174">
        <f>C_S_Digital[[#This Row],[ID_C]]</f>
        <v>251</v>
      </c>
      <c r="B256" s="139">
        <f>C_S_Digital[[#This Row],[Proceso]]</f>
        <v>0</v>
      </c>
      <c r="C256" s="140" t="e">
        <f>C_S_Digital[[#This Row],[Código riesgo]]</f>
        <v>#VALUE!</v>
      </c>
      <c r="D256" s="175" t="str">
        <f>C_S_Digital[[#This Row],[Código control]]</f>
        <v/>
      </c>
      <c r="E256" s="164"/>
      <c r="F256" s="24"/>
      <c r="G256" s="164"/>
      <c r="H256" s="55"/>
      <c r="I256" s="55"/>
      <c r="J256" s="55"/>
      <c r="K256" s="55"/>
      <c r="L256" s="54"/>
      <c r="M256" s="22"/>
      <c r="N256" s="23"/>
      <c r="O256" s="56"/>
      <c r="P256" s="57"/>
      <c r="Q256" s="57"/>
      <c r="R256" s="58"/>
      <c r="S256" s="59"/>
      <c r="T256" s="60"/>
    </row>
    <row r="257" spans="1:20" ht="17.25" thickBot="1" x14ac:dyDescent="0.3">
      <c r="A257" s="176">
        <f>C_S_Digital[[#This Row],[ID_C]]</f>
        <v>252</v>
      </c>
      <c r="B257" s="177">
        <f>C_S_Digital[[#This Row],[Proceso]]</f>
        <v>0</v>
      </c>
      <c r="C257" s="178" t="e">
        <f>C_S_Digital[[#This Row],[Código riesgo]]</f>
        <v>#VALUE!</v>
      </c>
      <c r="D257" s="179" t="str">
        <f>C_S_Digital[[#This Row],[Código control]]</f>
        <v/>
      </c>
      <c r="E257" s="165"/>
      <c r="F257" s="33"/>
      <c r="G257" s="165"/>
      <c r="H257" s="62"/>
      <c r="I257" s="62"/>
      <c r="J257" s="62"/>
      <c r="K257" s="62"/>
      <c r="L257" s="61"/>
      <c r="M257" s="31"/>
      <c r="N257" s="32"/>
      <c r="O257" s="63"/>
      <c r="P257" s="64"/>
      <c r="Q257" s="64"/>
      <c r="R257" s="65"/>
      <c r="S257" s="66"/>
      <c r="T257" s="67"/>
    </row>
    <row r="258" spans="1:20" ht="16.5" x14ac:dyDescent="0.25">
      <c r="A258" s="170">
        <f>C_S_Digital[[#This Row],[ID_C]]</f>
        <v>253</v>
      </c>
      <c r="B258" s="171">
        <f>C_S_Digital[[#This Row],[Proceso]]</f>
        <v>0</v>
      </c>
      <c r="C258" s="172" t="e">
        <f>C_S_Digital[[#This Row],[Código riesgo]]</f>
        <v>#VALUE!</v>
      </c>
      <c r="D258" s="173" t="str">
        <f>C_S_Digital[[#This Row],[Código control]]</f>
        <v/>
      </c>
      <c r="E258" s="166"/>
      <c r="F258" s="16"/>
      <c r="G258" s="166"/>
      <c r="H258" s="69"/>
      <c r="I258" s="69"/>
      <c r="J258" s="69"/>
      <c r="K258" s="69"/>
      <c r="L258" s="68"/>
      <c r="M258" s="14"/>
      <c r="N258" s="15"/>
      <c r="O258" s="70"/>
      <c r="P258" s="71"/>
      <c r="Q258" s="71"/>
      <c r="R258" s="72"/>
      <c r="S258" s="73"/>
      <c r="T258" s="74"/>
    </row>
    <row r="259" spans="1:20" ht="16.5" x14ac:dyDescent="0.25">
      <c r="A259" s="174">
        <f>C_S_Digital[[#This Row],[ID_C]]</f>
        <v>254</v>
      </c>
      <c r="B259" s="139">
        <f>C_S_Digital[[#This Row],[Proceso]]</f>
        <v>0</v>
      </c>
      <c r="C259" s="140" t="e">
        <f>C_S_Digital[[#This Row],[Código riesgo]]</f>
        <v>#VALUE!</v>
      </c>
      <c r="D259" s="175" t="str">
        <f>C_S_Digital[[#This Row],[Código control]]</f>
        <v/>
      </c>
      <c r="E259" s="164"/>
      <c r="F259" s="24"/>
      <c r="G259" s="164"/>
      <c r="H259" s="55"/>
      <c r="I259" s="55"/>
      <c r="J259" s="55"/>
      <c r="K259" s="55"/>
      <c r="L259" s="54"/>
      <c r="M259" s="22"/>
      <c r="N259" s="23"/>
      <c r="O259" s="56"/>
      <c r="P259" s="57"/>
      <c r="Q259" s="57"/>
      <c r="R259" s="58"/>
      <c r="S259" s="59"/>
      <c r="T259" s="60"/>
    </row>
    <row r="260" spans="1:20" ht="16.5" x14ac:dyDescent="0.25">
      <c r="A260" s="174">
        <f>C_S_Digital[[#This Row],[ID_C]]</f>
        <v>255</v>
      </c>
      <c r="B260" s="139">
        <f>C_S_Digital[[#This Row],[Proceso]]</f>
        <v>0</v>
      </c>
      <c r="C260" s="140" t="e">
        <f>C_S_Digital[[#This Row],[Código riesgo]]</f>
        <v>#VALUE!</v>
      </c>
      <c r="D260" s="175" t="str">
        <f>C_S_Digital[[#This Row],[Código control]]</f>
        <v/>
      </c>
      <c r="E260" s="164"/>
      <c r="F260" s="24"/>
      <c r="G260" s="164"/>
      <c r="H260" s="55"/>
      <c r="I260" s="55"/>
      <c r="J260" s="55"/>
      <c r="K260" s="55"/>
      <c r="L260" s="54"/>
      <c r="M260" s="22"/>
      <c r="N260" s="23"/>
      <c r="O260" s="56"/>
      <c r="P260" s="57"/>
      <c r="Q260" s="57"/>
      <c r="R260" s="58"/>
      <c r="S260" s="59"/>
      <c r="T260" s="60"/>
    </row>
    <row r="261" spans="1:20" ht="16.5" x14ac:dyDescent="0.25">
      <c r="A261" s="174">
        <f>C_S_Digital[[#This Row],[ID_C]]</f>
        <v>256</v>
      </c>
      <c r="B261" s="139">
        <f>C_S_Digital[[#This Row],[Proceso]]</f>
        <v>0</v>
      </c>
      <c r="C261" s="140" t="e">
        <f>C_S_Digital[[#This Row],[Código riesgo]]</f>
        <v>#VALUE!</v>
      </c>
      <c r="D261" s="175" t="str">
        <f>C_S_Digital[[#This Row],[Código control]]</f>
        <v/>
      </c>
      <c r="E261" s="164"/>
      <c r="F261" s="24"/>
      <c r="G261" s="164"/>
      <c r="H261" s="55"/>
      <c r="I261" s="55"/>
      <c r="J261" s="55"/>
      <c r="K261" s="55"/>
      <c r="L261" s="54"/>
      <c r="M261" s="22"/>
      <c r="N261" s="23"/>
      <c r="O261" s="56"/>
      <c r="P261" s="57"/>
      <c r="Q261" s="57"/>
      <c r="R261" s="58"/>
      <c r="S261" s="59"/>
      <c r="T261" s="60"/>
    </row>
    <row r="262" spans="1:20" ht="16.5" x14ac:dyDescent="0.25">
      <c r="A262" s="174">
        <f>C_S_Digital[[#This Row],[ID_C]]</f>
        <v>257</v>
      </c>
      <c r="B262" s="139">
        <f>C_S_Digital[[#This Row],[Proceso]]</f>
        <v>0</v>
      </c>
      <c r="C262" s="140" t="e">
        <f>C_S_Digital[[#This Row],[Código riesgo]]</f>
        <v>#VALUE!</v>
      </c>
      <c r="D262" s="175" t="str">
        <f>C_S_Digital[[#This Row],[Código control]]</f>
        <v/>
      </c>
      <c r="E262" s="164"/>
      <c r="F262" s="24"/>
      <c r="G262" s="164"/>
      <c r="H262" s="55"/>
      <c r="I262" s="55"/>
      <c r="J262" s="55"/>
      <c r="K262" s="55"/>
      <c r="L262" s="54"/>
      <c r="M262" s="22"/>
      <c r="N262" s="23"/>
      <c r="O262" s="56"/>
      <c r="P262" s="57"/>
      <c r="Q262" s="57"/>
      <c r="R262" s="58"/>
      <c r="S262" s="59"/>
      <c r="T262" s="60"/>
    </row>
    <row r="263" spans="1:20" ht="17.25" thickBot="1" x14ac:dyDescent="0.3">
      <c r="A263" s="176">
        <f>C_S_Digital[[#This Row],[ID_C]]</f>
        <v>258</v>
      </c>
      <c r="B263" s="177">
        <f>C_S_Digital[[#This Row],[Proceso]]</f>
        <v>0</v>
      </c>
      <c r="C263" s="178" t="e">
        <f>C_S_Digital[[#This Row],[Código riesgo]]</f>
        <v>#VALUE!</v>
      </c>
      <c r="D263" s="179" t="str">
        <f>C_S_Digital[[#This Row],[Código control]]</f>
        <v/>
      </c>
      <c r="E263" s="165"/>
      <c r="F263" s="33"/>
      <c r="G263" s="165"/>
      <c r="H263" s="62"/>
      <c r="I263" s="62"/>
      <c r="J263" s="62"/>
      <c r="K263" s="62"/>
      <c r="L263" s="61"/>
      <c r="M263" s="31"/>
      <c r="N263" s="32"/>
      <c r="O263" s="63"/>
      <c r="P263" s="64"/>
      <c r="Q263" s="64"/>
      <c r="R263" s="65"/>
      <c r="S263" s="66"/>
      <c r="T263" s="67"/>
    </row>
    <row r="264" spans="1:20" ht="16.5" x14ac:dyDescent="0.25">
      <c r="A264" s="170">
        <f>C_S_Digital[[#This Row],[ID_C]]</f>
        <v>259</v>
      </c>
      <c r="B264" s="171">
        <f>C_S_Digital[[#This Row],[Proceso]]</f>
        <v>0</v>
      </c>
      <c r="C264" s="172" t="e">
        <f>C_S_Digital[[#This Row],[Código riesgo]]</f>
        <v>#VALUE!</v>
      </c>
      <c r="D264" s="173" t="str">
        <f>C_S_Digital[[#This Row],[Código control]]</f>
        <v/>
      </c>
      <c r="E264" s="166"/>
      <c r="F264" s="16"/>
      <c r="G264" s="166"/>
      <c r="H264" s="69"/>
      <c r="I264" s="69"/>
      <c r="J264" s="69"/>
      <c r="K264" s="69"/>
      <c r="L264" s="68"/>
      <c r="M264" s="14"/>
      <c r="N264" s="15"/>
      <c r="O264" s="70"/>
      <c r="P264" s="71"/>
      <c r="Q264" s="71"/>
      <c r="R264" s="72"/>
      <c r="S264" s="73"/>
      <c r="T264" s="74"/>
    </row>
    <row r="265" spans="1:20" ht="16.5" x14ac:dyDescent="0.25">
      <c r="A265" s="174">
        <f>C_S_Digital[[#This Row],[ID_C]]</f>
        <v>260</v>
      </c>
      <c r="B265" s="139">
        <f>C_S_Digital[[#This Row],[Proceso]]</f>
        <v>0</v>
      </c>
      <c r="C265" s="140" t="e">
        <f>C_S_Digital[[#This Row],[Código riesgo]]</f>
        <v>#VALUE!</v>
      </c>
      <c r="D265" s="175" t="str">
        <f>C_S_Digital[[#This Row],[Código control]]</f>
        <v/>
      </c>
      <c r="E265" s="164"/>
      <c r="F265" s="24"/>
      <c r="G265" s="164"/>
      <c r="H265" s="55"/>
      <c r="I265" s="55"/>
      <c r="J265" s="55"/>
      <c r="K265" s="55"/>
      <c r="L265" s="54"/>
      <c r="M265" s="22"/>
      <c r="N265" s="23"/>
      <c r="O265" s="56"/>
      <c r="P265" s="57"/>
      <c r="Q265" s="57"/>
      <c r="R265" s="58"/>
      <c r="S265" s="59"/>
      <c r="T265" s="60"/>
    </row>
    <row r="266" spans="1:20" ht="16.5" x14ac:dyDescent="0.25">
      <c r="A266" s="174">
        <f>C_S_Digital[[#This Row],[ID_C]]</f>
        <v>261</v>
      </c>
      <c r="B266" s="139">
        <f>C_S_Digital[[#This Row],[Proceso]]</f>
        <v>0</v>
      </c>
      <c r="C266" s="140" t="e">
        <f>C_S_Digital[[#This Row],[Código riesgo]]</f>
        <v>#VALUE!</v>
      </c>
      <c r="D266" s="175" t="str">
        <f>C_S_Digital[[#This Row],[Código control]]</f>
        <v/>
      </c>
      <c r="E266" s="164"/>
      <c r="F266" s="24"/>
      <c r="G266" s="164"/>
      <c r="H266" s="55"/>
      <c r="I266" s="55"/>
      <c r="J266" s="55"/>
      <c r="K266" s="55"/>
      <c r="L266" s="54"/>
      <c r="M266" s="22"/>
      <c r="N266" s="23"/>
      <c r="O266" s="56"/>
      <c r="P266" s="57"/>
      <c r="Q266" s="57"/>
      <c r="R266" s="58"/>
      <c r="S266" s="59"/>
      <c r="T266" s="60"/>
    </row>
    <row r="267" spans="1:20" ht="16.5" x14ac:dyDescent="0.25">
      <c r="A267" s="174">
        <f>C_S_Digital[[#This Row],[ID_C]]</f>
        <v>262</v>
      </c>
      <c r="B267" s="139">
        <f>C_S_Digital[[#This Row],[Proceso]]</f>
        <v>0</v>
      </c>
      <c r="C267" s="140" t="e">
        <f>C_S_Digital[[#This Row],[Código riesgo]]</f>
        <v>#VALUE!</v>
      </c>
      <c r="D267" s="175" t="str">
        <f>C_S_Digital[[#This Row],[Código control]]</f>
        <v/>
      </c>
      <c r="E267" s="164"/>
      <c r="F267" s="24"/>
      <c r="G267" s="164"/>
      <c r="H267" s="55"/>
      <c r="I267" s="55"/>
      <c r="J267" s="55"/>
      <c r="K267" s="55"/>
      <c r="L267" s="54"/>
      <c r="M267" s="22"/>
      <c r="N267" s="23"/>
      <c r="O267" s="56"/>
      <c r="P267" s="57"/>
      <c r="Q267" s="57"/>
      <c r="R267" s="58"/>
      <c r="S267" s="59"/>
      <c r="T267" s="60"/>
    </row>
    <row r="268" spans="1:20" ht="16.5" x14ac:dyDescent="0.25">
      <c r="A268" s="174">
        <f>C_S_Digital[[#This Row],[ID_C]]</f>
        <v>263</v>
      </c>
      <c r="B268" s="139">
        <f>C_S_Digital[[#This Row],[Proceso]]</f>
        <v>0</v>
      </c>
      <c r="C268" s="140" t="e">
        <f>C_S_Digital[[#This Row],[Código riesgo]]</f>
        <v>#VALUE!</v>
      </c>
      <c r="D268" s="175" t="str">
        <f>C_S_Digital[[#This Row],[Código control]]</f>
        <v/>
      </c>
      <c r="E268" s="164"/>
      <c r="F268" s="24"/>
      <c r="G268" s="164"/>
      <c r="H268" s="55"/>
      <c r="I268" s="55"/>
      <c r="J268" s="55"/>
      <c r="K268" s="55"/>
      <c r="L268" s="54"/>
      <c r="M268" s="22"/>
      <c r="N268" s="23"/>
      <c r="O268" s="56"/>
      <c r="P268" s="57"/>
      <c r="Q268" s="57"/>
      <c r="R268" s="58"/>
      <c r="S268" s="59"/>
      <c r="T268" s="60"/>
    </row>
    <row r="269" spans="1:20" ht="17.25" thickBot="1" x14ac:dyDescent="0.3">
      <c r="A269" s="176">
        <f>C_S_Digital[[#This Row],[ID_C]]</f>
        <v>264</v>
      </c>
      <c r="B269" s="177">
        <f>C_S_Digital[[#This Row],[Proceso]]</f>
        <v>0</v>
      </c>
      <c r="C269" s="178" t="e">
        <f>C_S_Digital[[#This Row],[Código riesgo]]</f>
        <v>#VALUE!</v>
      </c>
      <c r="D269" s="179" t="str">
        <f>C_S_Digital[[#This Row],[Código control]]</f>
        <v/>
      </c>
      <c r="E269" s="165"/>
      <c r="F269" s="33"/>
      <c r="G269" s="165"/>
      <c r="H269" s="62"/>
      <c r="I269" s="62"/>
      <c r="J269" s="62"/>
      <c r="K269" s="62"/>
      <c r="L269" s="61"/>
      <c r="M269" s="31"/>
      <c r="N269" s="32"/>
      <c r="O269" s="63"/>
      <c r="P269" s="64"/>
      <c r="Q269" s="64"/>
      <c r="R269" s="65"/>
      <c r="S269" s="66"/>
      <c r="T269" s="67"/>
    </row>
    <row r="270" spans="1:20" ht="16.5" x14ac:dyDescent="0.25">
      <c r="A270" s="170">
        <f>C_S_Digital[[#This Row],[ID_C]]</f>
        <v>265</v>
      </c>
      <c r="B270" s="171">
        <f>C_S_Digital[[#This Row],[Proceso]]</f>
        <v>0</v>
      </c>
      <c r="C270" s="172" t="e">
        <f>C_S_Digital[[#This Row],[Código riesgo]]</f>
        <v>#VALUE!</v>
      </c>
      <c r="D270" s="173" t="str">
        <f>C_S_Digital[[#This Row],[Código control]]</f>
        <v/>
      </c>
      <c r="E270" s="166"/>
      <c r="F270" s="16"/>
      <c r="G270" s="166"/>
      <c r="H270" s="69"/>
      <c r="I270" s="69"/>
      <c r="J270" s="69"/>
      <c r="K270" s="69"/>
      <c r="L270" s="68"/>
      <c r="M270" s="14"/>
      <c r="N270" s="15"/>
      <c r="O270" s="70"/>
      <c r="P270" s="71"/>
      <c r="Q270" s="71"/>
      <c r="R270" s="72"/>
      <c r="S270" s="73"/>
      <c r="T270" s="74"/>
    </row>
    <row r="271" spans="1:20" ht="16.5" x14ac:dyDescent="0.25">
      <c r="A271" s="174">
        <f>C_S_Digital[[#This Row],[ID_C]]</f>
        <v>266</v>
      </c>
      <c r="B271" s="139">
        <f>C_S_Digital[[#This Row],[Proceso]]</f>
        <v>0</v>
      </c>
      <c r="C271" s="140" t="e">
        <f>C_S_Digital[[#This Row],[Código riesgo]]</f>
        <v>#VALUE!</v>
      </c>
      <c r="D271" s="175" t="str">
        <f>C_S_Digital[[#This Row],[Código control]]</f>
        <v/>
      </c>
      <c r="E271" s="164"/>
      <c r="F271" s="24"/>
      <c r="G271" s="164"/>
      <c r="H271" s="55"/>
      <c r="I271" s="55"/>
      <c r="J271" s="55"/>
      <c r="K271" s="55"/>
      <c r="L271" s="54"/>
      <c r="M271" s="22"/>
      <c r="N271" s="23"/>
      <c r="O271" s="56"/>
      <c r="P271" s="57"/>
      <c r="Q271" s="57"/>
      <c r="R271" s="58"/>
      <c r="S271" s="59"/>
      <c r="T271" s="60"/>
    </row>
    <row r="272" spans="1:20" ht="16.5" x14ac:dyDescent="0.25">
      <c r="A272" s="174">
        <f>C_S_Digital[[#This Row],[ID_C]]</f>
        <v>267</v>
      </c>
      <c r="B272" s="139">
        <f>C_S_Digital[[#This Row],[Proceso]]</f>
        <v>0</v>
      </c>
      <c r="C272" s="140" t="e">
        <f>C_S_Digital[[#This Row],[Código riesgo]]</f>
        <v>#VALUE!</v>
      </c>
      <c r="D272" s="175" t="str">
        <f>C_S_Digital[[#This Row],[Código control]]</f>
        <v/>
      </c>
      <c r="E272" s="164"/>
      <c r="F272" s="24"/>
      <c r="G272" s="164"/>
      <c r="H272" s="55"/>
      <c r="I272" s="55"/>
      <c r="J272" s="55"/>
      <c r="K272" s="55"/>
      <c r="L272" s="54"/>
      <c r="M272" s="22"/>
      <c r="N272" s="23"/>
      <c r="O272" s="56"/>
      <c r="P272" s="57"/>
      <c r="Q272" s="57"/>
      <c r="R272" s="58"/>
      <c r="S272" s="59"/>
      <c r="T272" s="60"/>
    </row>
    <row r="273" spans="1:20" ht="16.5" x14ac:dyDescent="0.25">
      <c r="A273" s="174">
        <f>C_S_Digital[[#This Row],[ID_C]]</f>
        <v>268</v>
      </c>
      <c r="B273" s="139">
        <f>C_S_Digital[[#This Row],[Proceso]]</f>
        <v>0</v>
      </c>
      <c r="C273" s="140" t="e">
        <f>C_S_Digital[[#This Row],[Código riesgo]]</f>
        <v>#VALUE!</v>
      </c>
      <c r="D273" s="175" t="str">
        <f>C_S_Digital[[#This Row],[Código control]]</f>
        <v/>
      </c>
      <c r="E273" s="164"/>
      <c r="F273" s="24"/>
      <c r="G273" s="164"/>
      <c r="H273" s="55"/>
      <c r="I273" s="55"/>
      <c r="J273" s="55"/>
      <c r="K273" s="55"/>
      <c r="L273" s="54"/>
      <c r="M273" s="22"/>
      <c r="N273" s="23"/>
      <c r="O273" s="56"/>
      <c r="P273" s="57"/>
      <c r="Q273" s="57"/>
      <c r="R273" s="58"/>
      <c r="S273" s="59"/>
      <c r="T273" s="60"/>
    </row>
    <row r="274" spans="1:20" ht="16.5" x14ac:dyDescent="0.25">
      <c r="A274" s="174">
        <f>C_S_Digital[[#This Row],[ID_C]]</f>
        <v>269</v>
      </c>
      <c r="B274" s="139">
        <f>C_S_Digital[[#This Row],[Proceso]]</f>
        <v>0</v>
      </c>
      <c r="C274" s="140" t="e">
        <f>C_S_Digital[[#This Row],[Código riesgo]]</f>
        <v>#VALUE!</v>
      </c>
      <c r="D274" s="175" t="str">
        <f>C_S_Digital[[#This Row],[Código control]]</f>
        <v/>
      </c>
      <c r="E274" s="164"/>
      <c r="F274" s="24"/>
      <c r="G274" s="164"/>
      <c r="H274" s="55"/>
      <c r="I274" s="55"/>
      <c r="J274" s="55"/>
      <c r="K274" s="55"/>
      <c r="L274" s="54"/>
      <c r="M274" s="22"/>
      <c r="N274" s="23"/>
      <c r="O274" s="56"/>
      <c r="P274" s="57"/>
      <c r="Q274" s="57"/>
      <c r="R274" s="58"/>
      <c r="S274" s="59"/>
      <c r="T274" s="60"/>
    </row>
    <row r="275" spans="1:20" ht="17.25" thickBot="1" x14ac:dyDescent="0.3">
      <c r="A275" s="176">
        <f>C_S_Digital[[#This Row],[ID_C]]</f>
        <v>270</v>
      </c>
      <c r="B275" s="177">
        <f>C_S_Digital[[#This Row],[Proceso]]</f>
        <v>0</v>
      </c>
      <c r="C275" s="178" t="e">
        <f>C_S_Digital[[#This Row],[Código riesgo]]</f>
        <v>#VALUE!</v>
      </c>
      <c r="D275" s="179" t="str">
        <f>C_S_Digital[[#This Row],[Código control]]</f>
        <v/>
      </c>
      <c r="E275" s="165"/>
      <c r="F275" s="33"/>
      <c r="G275" s="165"/>
      <c r="H275" s="62"/>
      <c r="I275" s="62"/>
      <c r="J275" s="62"/>
      <c r="K275" s="62"/>
      <c r="L275" s="61"/>
      <c r="M275" s="31"/>
      <c r="N275" s="32"/>
      <c r="O275" s="63"/>
      <c r="P275" s="64"/>
      <c r="Q275" s="64"/>
      <c r="R275" s="65"/>
      <c r="S275" s="66"/>
      <c r="T275" s="67"/>
    </row>
    <row r="276" spans="1:20" ht="16.5" x14ac:dyDescent="0.25">
      <c r="A276" s="170">
        <f>C_S_Digital[[#This Row],[ID_C]]</f>
        <v>271</v>
      </c>
      <c r="B276" s="171">
        <f>C_S_Digital[[#This Row],[Proceso]]</f>
        <v>0</v>
      </c>
      <c r="C276" s="172" t="e">
        <f>C_S_Digital[[#This Row],[Código riesgo]]</f>
        <v>#VALUE!</v>
      </c>
      <c r="D276" s="173" t="str">
        <f>C_S_Digital[[#This Row],[Código control]]</f>
        <v/>
      </c>
      <c r="E276" s="166"/>
      <c r="F276" s="16"/>
      <c r="G276" s="166"/>
      <c r="H276" s="69"/>
      <c r="I276" s="69"/>
      <c r="J276" s="69"/>
      <c r="K276" s="69"/>
      <c r="L276" s="68"/>
      <c r="M276" s="14"/>
      <c r="N276" s="15"/>
      <c r="O276" s="70"/>
      <c r="P276" s="71"/>
      <c r="Q276" s="71"/>
      <c r="R276" s="72"/>
      <c r="S276" s="73"/>
      <c r="T276" s="74"/>
    </row>
    <row r="277" spans="1:20" ht="16.5" x14ac:dyDescent="0.25">
      <c r="A277" s="174">
        <f>C_S_Digital[[#This Row],[ID_C]]</f>
        <v>272</v>
      </c>
      <c r="B277" s="139">
        <f>C_S_Digital[[#This Row],[Proceso]]</f>
        <v>0</v>
      </c>
      <c r="C277" s="140" t="e">
        <f>C_S_Digital[[#This Row],[Código riesgo]]</f>
        <v>#VALUE!</v>
      </c>
      <c r="D277" s="175" t="str">
        <f>C_S_Digital[[#This Row],[Código control]]</f>
        <v/>
      </c>
      <c r="E277" s="164"/>
      <c r="F277" s="24"/>
      <c r="G277" s="164"/>
      <c r="H277" s="55"/>
      <c r="I277" s="55"/>
      <c r="J277" s="55"/>
      <c r="K277" s="55"/>
      <c r="L277" s="54"/>
      <c r="M277" s="22"/>
      <c r="N277" s="23"/>
      <c r="O277" s="56"/>
      <c r="P277" s="57"/>
      <c r="Q277" s="57"/>
      <c r="R277" s="58"/>
      <c r="S277" s="59"/>
      <c r="T277" s="60"/>
    </row>
    <row r="278" spans="1:20" ht="16.5" x14ac:dyDescent="0.25">
      <c r="A278" s="174">
        <f>C_S_Digital[[#This Row],[ID_C]]</f>
        <v>273</v>
      </c>
      <c r="B278" s="139">
        <f>C_S_Digital[[#This Row],[Proceso]]</f>
        <v>0</v>
      </c>
      <c r="C278" s="140" t="e">
        <f>C_S_Digital[[#This Row],[Código riesgo]]</f>
        <v>#VALUE!</v>
      </c>
      <c r="D278" s="175" t="str">
        <f>C_S_Digital[[#This Row],[Código control]]</f>
        <v/>
      </c>
      <c r="E278" s="164"/>
      <c r="F278" s="24"/>
      <c r="G278" s="164"/>
      <c r="H278" s="55"/>
      <c r="I278" s="55"/>
      <c r="J278" s="55"/>
      <c r="K278" s="55"/>
      <c r="L278" s="54"/>
      <c r="M278" s="22"/>
      <c r="N278" s="23"/>
      <c r="O278" s="56"/>
      <c r="P278" s="57"/>
      <c r="Q278" s="57"/>
      <c r="R278" s="58"/>
      <c r="S278" s="59"/>
      <c r="T278" s="60"/>
    </row>
    <row r="279" spans="1:20" ht="16.5" x14ac:dyDescent="0.25">
      <c r="A279" s="174">
        <f>C_S_Digital[[#This Row],[ID_C]]</f>
        <v>274</v>
      </c>
      <c r="B279" s="139">
        <f>C_S_Digital[[#This Row],[Proceso]]</f>
        <v>0</v>
      </c>
      <c r="C279" s="140" t="e">
        <f>C_S_Digital[[#This Row],[Código riesgo]]</f>
        <v>#VALUE!</v>
      </c>
      <c r="D279" s="175" t="str">
        <f>C_S_Digital[[#This Row],[Código control]]</f>
        <v/>
      </c>
      <c r="E279" s="164"/>
      <c r="F279" s="24"/>
      <c r="G279" s="164"/>
      <c r="H279" s="55"/>
      <c r="I279" s="55"/>
      <c r="J279" s="55"/>
      <c r="K279" s="55"/>
      <c r="L279" s="54"/>
      <c r="M279" s="22"/>
      <c r="N279" s="23"/>
      <c r="O279" s="56"/>
      <c r="P279" s="57"/>
      <c r="Q279" s="57"/>
      <c r="R279" s="58"/>
      <c r="S279" s="59"/>
      <c r="T279" s="60"/>
    </row>
    <row r="280" spans="1:20" ht="16.5" x14ac:dyDescent="0.25">
      <c r="A280" s="174">
        <f>C_S_Digital[[#This Row],[ID_C]]</f>
        <v>275</v>
      </c>
      <c r="B280" s="139">
        <f>C_S_Digital[[#This Row],[Proceso]]</f>
        <v>0</v>
      </c>
      <c r="C280" s="140" t="e">
        <f>C_S_Digital[[#This Row],[Código riesgo]]</f>
        <v>#VALUE!</v>
      </c>
      <c r="D280" s="175" t="str">
        <f>C_S_Digital[[#This Row],[Código control]]</f>
        <v/>
      </c>
      <c r="E280" s="164"/>
      <c r="F280" s="24"/>
      <c r="G280" s="164"/>
      <c r="H280" s="55"/>
      <c r="I280" s="55"/>
      <c r="J280" s="55"/>
      <c r="K280" s="55"/>
      <c r="L280" s="54"/>
      <c r="M280" s="22"/>
      <c r="N280" s="23"/>
      <c r="O280" s="56"/>
      <c r="P280" s="57"/>
      <c r="Q280" s="57"/>
      <c r="R280" s="58"/>
      <c r="S280" s="59"/>
      <c r="T280" s="60"/>
    </row>
    <row r="281" spans="1:20" ht="17.25" thickBot="1" x14ac:dyDescent="0.3">
      <c r="A281" s="176">
        <f>C_S_Digital[[#This Row],[ID_C]]</f>
        <v>276</v>
      </c>
      <c r="B281" s="177">
        <f>C_S_Digital[[#This Row],[Proceso]]</f>
        <v>0</v>
      </c>
      <c r="C281" s="178" t="e">
        <f>C_S_Digital[[#This Row],[Código riesgo]]</f>
        <v>#VALUE!</v>
      </c>
      <c r="D281" s="179" t="str">
        <f>C_S_Digital[[#This Row],[Código control]]</f>
        <v/>
      </c>
      <c r="E281" s="165"/>
      <c r="F281" s="33"/>
      <c r="G281" s="165"/>
      <c r="H281" s="62"/>
      <c r="I281" s="62"/>
      <c r="J281" s="62"/>
      <c r="K281" s="62"/>
      <c r="L281" s="61"/>
      <c r="M281" s="31"/>
      <c r="N281" s="32"/>
      <c r="O281" s="63"/>
      <c r="P281" s="64"/>
      <c r="Q281" s="64"/>
      <c r="R281" s="65"/>
      <c r="S281" s="66"/>
      <c r="T281" s="67"/>
    </row>
    <row r="282" spans="1:20" ht="16.5" x14ac:dyDescent="0.25">
      <c r="A282" s="170">
        <f>C_S_Digital[[#This Row],[ID_C]]</f>
        <v>277</v>
      </c>
      <c r="B282" s="171">
        <f>C_S_Digital[[#This Row],[Proceso]]</f>
        <v>0</v>
      </c>
      <c r="C282" s="172" t="e">
        <f>C_S_Digital[[#This Row],[Código riesgo]]</f>
        <v>#VALUE!</v>
      </c>
      <c r="D282" s="173" t="str">
        <f>C_S_Digital[[#This Row],[Código control]]</f>
        <v/>
      </c>
      <c r="E282" s="166"/>
      <c r="F282" s="16"/>
      <c r="G282" s="166"/>
      <c r="H282" s="69"/>
      <c r="I282" s="69"/>
      <c r="J282" s="69"/>
      <c r="K282" s="69"/>
      <c r="L282" s="68"/>
      <c r="M282" s="14"/>
      <c r="N282" s="15"/>
      <c r="O282" s="70"/>
      <c r="P282" s="71"/>
      <c r="Q282" s="71"/>
      <c r="R282" s="72"/>
      <c r="S282" s="73"/>
      <c r="T282" s="74"/>
    </row>
    <row r="283" spans="1:20" ht="16.5" x14ac:dyDescent="0.25">
      <c r="A283" s="174">
        <f>C_S_Digital[[#This Row],[ID_C]]</f>
        <v>278</v>
      </c>
      <c r="B283" s="139">
        <f>C_S_Digital[[#This Row],[Proceso]]</f>
        <v>0</v>
      </c>
      <c r="C283" s="140" t="e">
        <f>C_S_Digital[[#This Row],[Código riesgo]]</f>
        <v>#VALUE!</v>
      </c>
      <c r="D283" s="175" t="str">
        <f>C_S_Digital[[#This Row],[Código control]]</f>
        <v/>
      </c>
      <c r="E283" s="164"/>
      <c r="F283" s="24"/>
      <c r="G283" s="164"/>
      <c r="H283" s="55"/>
      <c r="I283" s="55"/>
      <c r="J283" s="55"/>
      <c r="K283" s="55"/>
      <c r="L283" s="54"/>
      <c r="M283" s="22"/>
      <c r="N283" s="23"/>
      <c r="O283" s="56"/>
      <c r="P283" s="57"/>
      <c r="Q283" s="57"/>
      <c r="R283" s="58"/>
      <c r="S283" s="59"/>
      <c r="T283" s="60"/>
    </row>
    <row r="284" spans="1:20" ht="16.5" x14ac:dyDescent="0.25">
      <c r="A284" s="174">
        <f>C_S_Digital[[#This Row],[ID_C]]</f>
        <v>279</v>
      </c>
      <c r="B284" s="139">
        <f>C_S_Digital[[#This Row],[Proceso]]</f>
        <v>0</v>
      </c>
      <c r="C284" s="140" t="e">
        <f>C_S_Digital[[#This Row],[Código riesgo]]</f>
        <v>#VALUE!</v>
      </c>
      <c r="D284" s="175" t="str">
        <f>C_S_Digital[[#This Row],[Código control]]</f>
        <v/>
      </c>
      <c r="E284" s="164"/>
      <c r="F284" s="24"/>
      <c r="G284" s="164"/>
      <c r="H284" s="55"/>
      <c r="I284" s="55"/>
      <c r="J284" s="55"/>
      <c r="K284" s="55"/>
      <c r="L284" s="54"/>
      <c r="M284" s="22"/>
      <c r="N284" s="23"/>
      <c r="O284" s="56"/>
      <c r="P284" s="57"/>
      <c r="Q284" s="57"/>
      <c r="R284" s="58"/>
      <c r="S284" s="59"/>
      <c r="T284" s="60"/>
    </row>
    <row r="285" spans="1:20" ht="16.5" x14ac:dyDescent="0.25">
      <c r="A285" s="174">
        <f>C_S_Digital[[#This Row],[ID_C]]</f>
        <v>280</v>
      </c>
      <c r="B285" s="139">
        <f>C_S_Digital[[#This Row],[Proceso]]</f>
        <v>0</v>
      </c>
      <c r="C285" s="140" t="e">
        <f>C_S_Digital[[#This Row],[Código riesgo]]</f>
        <v>#VALUE!</v>
      </c>
      <c r="D285" s="175" t="str">
        <f>C_S_Digital[[#This Row],[Código control]]</f>
        <v/>
      </c>
      <c r="E285" s="164"/>
      <c r="F285" s="24"/>
      <c r="G285" s="164"/>
      <c r="H285" s="55"/>
      <c r="I285" s="55"/>
      <c r="J285" s="55"/>
      <c r="K285" s="55"/>
      <c r="L285" s="54"/>
      <c r="M285" s="22"/>
      <c r="N285" s="23"/>
      <c r="O285" s="56"/>
      <c r="P285" s="57"/>
      <c r="Q285" s="57"/>
      <c r="R285" s="58"/>
      <c r="S285" s="59"/>
      <c r="T285" s="60"/>
    </row>
    <row r="286" spans="1:20" ht="16.5" x14ac:dyDescent="0.25">
      <c r="A286" s="174">
        <f>C_S_Digital[[#This Row],[ID_C]]</f>
        <v>281</v>
      </c>
      <c r="B286" s="139">
        <f>C_S_Digital[[#This Row],[Proceso]]</f>
        <v>0</v>
      </c>
      <c r="C286" s="140" t="e">
        <f>C_S_Digital[[#This Row],[Código riesgo]]</f>
        <v>#VALUE!</v>
      </c>
      <c r="D286" s="175" t="str">
        <f>C_S_Digital[[#This Row],[Código control]]</f>
        <v/>
      </c>
      <c r="E286" s="164"/>
      <c r="F286" s="24"/>
      <c r="G286" s="164"/>
      <c r="H286" s="55"/>
      <c r="I286" s="55"/>
      <c r="J286" s="55"/>
      <c r="K286" s="55"/>
      <c r="L286" s="54"/>
      <c r="M286" s="22"/>
      <c r="N286" s="23"/>
      <c r="O286" s="56"/>
      <c r="P286" s="57"/>
      <c r="Q286" s="57"/>
      <c r="R286" s="58"/>
      <c r="S286" s="59"/>
      <c r="T286" s="60"/>
    </row>
    <row r="287" spans="1:20" ht="17.25" thickBot="1" x14ac:dyDescent="0.3">
      <c r="A287" s="176">
        <f>C_S_Digital[[#This Row],[ID_C]]</f>
        <v>282</v>
      </c>
      <c r="B287" s="177">
        <f>C_S_Digital[[#This Row],[Proceso]]</f>
        <v>0</v>
      </c>
      <c r="C287" s="178" t="e">
        <f>C_S_Digital[[#This Row],[Código riesgo]]</f>
        <v>#VALUE!</v>
      </c>
      <c r="D287" s="179" t="str">
        <f>C_S_Digital[[#This Row],[Código control]]</f>
        <v/>
      </c>
      <c r="E287" s="165"/>
      <c r="F287" s="33"/>
      <c r="G287" s="165"/>
      <c r="H287" s="62"/>
      <c r="I287" s="62"/>
      <c r="J287" s="62"/>
      <c r="K287" s="62"/>
      <c r="L287" s="61"/>
      <c r="M287" s="31"/>
      <c r="N287" s="32"/>
      <c r="O287" s="63"/>
      <c r="P287" s="64"/>
      <c r="Q287" s="64"/>
      <c r="R287" s="65"/>
      <c r="S287" s="66"/>
      <c r="T287" s="67"/>
    </row>
    <row r="288" spans="1:20" ht="16.5" x14ac:dyDescent="0.25">
      <c r="A288" s="170">
        <f>C_S_Digital[[#This Row],[ID_C]]</f>
        <v>283</v>
      </c>
      <c r="B288" s="171">
        <f>C_S_Digital[[#This Row],[Proceso]]</f>
        <v>0</v>
      </c>
      <c r="C288" s="172" t="e">
        <f>C_S_Digital[[#This Row],[Código riesgo]]</f>
        <v>#VALUE!</v>
      </c>
      <c r="D288" s="173" t="str">
        <f>C_S_Digital[[#This Row],[Código control]]</f>
        <v/>
      </c>
      <c r="E288" s="166"/>
      <c r="F288" s="16"/>
      <c r="G288" s="166"/>
      <c r="H288" s="69"/>
      <c r="I288" s="69"/>
      <c r="J288" s="69"/>
      <c r="K288" s="69"/>
      <c r="L288" s="68"/>
      <c r="M288" s="14"/>
      <c r="N288" s="15"/>
      <c r="O288" s="70"/>
      <c r="P288" s="71"/>
      <c r="Q288" s="71"/>
      <c r="R288" s="72"/>
      <c r="S288" s="73"/>
      <c r="T288" s="74"/>
    </row>
    <row r="289" spans="1:20" ht="16.5" x14ac:dyDescent="0.25">
      <c r="A289" s="174">
        <f>C_S_Digital[[#This Row],[ID_C]]</f>
        <v>284</v>
      </c>
      <c r="B289" s="139">
        <f>C_S_Digital[[#This Row],[Proceso]]</f>
        <v>0</v>
      </c>
      <c r="C289" s="140" t="e">
        <f>C_S_Digital[[#This Row],[Código riesgo]]</f>
        <v>#VALUE!</v>
      </c>
      <c r="D289" s="175" t="str">
        <f>C_S_Digital[[#This Row],[Código control]]</f>
        <v/>
      </c>
      <c r="E289" s="164"/>
      <c r="F289" s="24"/>
      <c r="G289" s="164"/>
      <c r="H289" s="55"/>
      <c r="I289" s="55"/>
      <c r="J289" s="55"/>
      <c r="K289" s="55"/>
      <c r="L289" s="54"/>
      <c r="M289" s="22"/>
      <c r="N289" s="23"/>
      <c r="O289" s="56"/>
      <c r="P289" s="57"/>
      <c r="Q289" s="57"/>
      <c r="R289" s="58"/>
      <c r="S289" s="59"/>
      <c r="T289" s="60"/>
    </row>
    <row r="290" spans="1:20" ht="16.5" x14ac:dyDescent="0.25">
      <c r="A290" s="174">
        <f>C_S_Digital[[#This Row],[ID_C]]</f>
        <v>285</v>
      </c>
      <c r="B290" s="139">
        <f>C_S_Digital[[#This Row],[Proceso]]</f>
        <v>0</v>
      </c>
      <c r="C290" s="140" t="e">
        <f>C_S_Digital[[#This Row],[Código riesgo]]</f>
        <v>#VALUE!</v>
      </c>
      <c r="D290" s="175" t="str">
        <f>C_S_Digital[[#This Row],[Código control]]</f>
        <v/>
      </c>
      <c r="E290" s="164"/>
      <c r="F290" s="24"/>
      <c r="G290" s="164"/>
      <c r="H290" s="55"/>
      <c r="I290" s="55"/>
      <c r="J290" s="55"/>
      <c r="K290" s="55"/>
      <c r="L290" s="54"/>
      <c r="M290" s="22"/>
      <c r="N290" s="23"/>
      <c r="O290" s="56"/>
      <c r="P290" s="57"/>
      <c r="Q290" s="57"/>
      <c r="R290" s="58"/>
      <c r="S290" s="59"/>
      <c r="T290" s="60"/>
    </row>
    <row r="291" spans="1:20" ht="16.5" x14ac:dyDescent="0.25">
      <c r="A291" s="174">
        <f>C_S_Digital[[#This Row],[ID_C]]</f>
        <v>286</v>
      </c>
      <c r="B291" s="139">
        <f>C_S_Digital[[#This Row],[Proceso]]</f>
        <v>0</v>
      </c>
      <c r="C291" s="140" t="e">
        <f>C_S_Digital[[#This Row],[Código riesgo]]</f>
        <v>#VALUE!</v>
      </c>
      <c r="D291" s="175" t="str">
        <f>C_S_Digital[[#This Row],[Código control]]</f>
        <v/>
      </c>
      <c r="E291" s="164"/>
      <c r="F291" s="24"/>
      <c r="G291" s="164"/>
      <c r="H291" s="55"/>
      <c r="I291" s="55"/>
      <c r="J291" s="55"/>
      <c r="K291" s="55"/>
      <c r="L291" s="54"/>
      <c r="M291" s="22"/>
      <c r="N291" s="23"/>
      <c r="O291" s="56"/>
      <c r="P291" s="57"/>
      <c r="Q291" s="57"/>
      <c r="R291" s="58"/>
      <c r="S291" s="59"/>
      <c r="T291" s="60"/>
    </row>
    <row r="292" spans="1:20" ht="16.5" x14ac:dyDescent="0.25">
      <c r="A292" s="174">
        <f>C_S_Digital[[#This Row],[ID_C]]</f>
        <v>287</v>
      </c>
      <c r="B292" s="139">
        <f>C_S_Digital[[#This Row],[Proceso]]</f>
        <v>0</v>
      </c>
      <c r="C292" s="140" t="e">
        <f>C_S_Digital[[#This Row],[Código riesgo]]</f>
        <v>#VALUE!</v>
      </c>
      <c r="D292" s="175" t="str">
        <f>C_S_Digital[[#This Row],[Código control]]</f>
        <v/>
      </c>
      <c r="E292" s="164"/>
      <c r="F292" s="24"/>
      <c r="G292" s="164"/>
      <c r="H292" s="55"/>
      <c r="I292" s="55"/>
      <c r="J292" s="55"/>
      <c r="K292" s="55"/>
      <c r="L292" s="54"/>
      <c r="M292" s="22"/>
      <c r="N292" s="23"/>
      <c r="O292" s="56"/>
      <c r="P292" s="57"/>
      <c r="Q292" s="57"/>
      <c r="R292" s="58"/>
      <c r="S292" s="59"/>
      <c r="T292" s="60"/>
    </row>
    <row r="293" spans="1:20" ht="17.25" thickBot="1" x14ac:dyDescent="0.3">
      <c r="A293" s="176">
        <f>C_S_Digital[[#This Row],[ID_C]]</f>
        <v>288</v>
      </c>
      <c r="B293" s="177">
        <f>C_S_Digital[[#This Row],[Proceso]]</f>
        <v>0</v>
      </c>
      <c r="C293" s="178" t="e">
        <f>C_S_Digital[[#This Row],[Código riesgo]]</f>
        <v>#VALUE!</v>
      </c>
      <c r="D293" s="179" t="str">
        <f>C_S_Digital[[#This Row],[Código control]]</f>
        <v/>
      </c>
      <c r="E293" s="165"/>
      <c r="F293" s="33"/>
      <c r="G293" s="165"/>
      <c r="H293" s="62"/>
      <c r="I293" s="62"/>
      <c r="J293" s="62"/>
      <c r="K293" s="62"/>
      <c r="L293" s="61"/>
      <c r="M293" s="31"/>
      <c r="N293" s="32"/>
      <c r="O293" s="63"/>
      <c r="P293" s="64"/>
      <c r="Q293" s="64"/>
      <c r="R293" s="65"/>
      <c r="S293" s="66"/>
      <c r="T293" s="67"/>
    </row>
    <row r="294" spans="1:20" ht="16.5" x14ac:dyDescent="0.25">
      <c r="A294" s="170">
        <f>C_S_Digital[[#This Row],[ID_C]]</f>
        <v>289</v>
      </c>
      <c r="B294" s="171">
        <f>C_S_Digital[[#This Row],[Proceso]]</f>
        <v>0</v>
      </c>
      <c r="C294" s="172" t="e">
        <f>C_S_Digital[[#This Row],[Código riesgo]]</f>
        <v>#VALUE!</v>
      </c>
      <c r="D294" s="173" t="str">
        <f>C_S_Digital[[#This Row],[Código control]]</f>
        <v/>
      </c>
      <c r="E294" s="166"/>
      <c r="F294" s="16"/>
      <c r="G294" s="166"/>
      <c r="H294" s="69"/>
      <c r="I294" s="69"/>
      <c r="J294" s="69"/>
      <c r="K294" s="69"/>
      <c r="L294" s="68"/>
      <c r="M294" s="14"/>
      <c r="N294" s="15"/>
      <c r="O294" s="70"/>
      <c r="P294" s="71"/>
      <c r="Q294" s="71"/>
      <c r="R294" s="72"/>
      <c r="S294" s="73"/>
      <c r="T294" s="74"/>
    </row>
    <row r="295" spans="1:20" ht="16.5" x14ac:dyDescent="0.25">
      <c r="A295" s="174">
        <f>C_S_Digital[[#This Row],[ID_C]]</f>
        <v>290</v>
      </c>
      <c r="B295" s="139">
        <f>C_S_Digital[[#This Row],[Proceso]]</f>
        <v>0</v>
      </c>
      <c r="C295" s="140" t="e">
        <f>C_S_Digital[[#This Row],[Código riesgo]]</f>
        <v>#VALUE!</v>
      </c>
      <c r="D295" s="175" t="str">
        <f>C_S_Digital[[#This Row],[Código control]]</f>
        <v/>
      </c>
      <c r="E295" s="164"/>
      <c r="F295" s="24"/>
      <c r="G295" s="164"/>
      <c r="H295" s="55"/>
      <c r="I295" s="55"/>
      <c r="J295" s="55"/>
      <c r="K295" s="55"/>
      <c r="L295" s="54"/>
      <c r="M295" s="22"/>
      <c r="N295" s="23"/>
      <c r="O295" s="56"/>
      <c r="P295" s="57"/>
      <c r="Q295" s="57"/>
      <c r="R295" s="58"/>
      <c r="S295" s="59"/>
      <c r="T295" s="60"/>
    </row>
    <row r="296" spans="1:20" ht="16.5" x14ac:dyDescent="0.25">
      <c r="A296" s="174">
        <f>C_S_Digital[[#This Row],[ID_C]]</f>
        <v>291</v>
      </c>
      <c r="B296" s="139">
        <f>C_S_Digital[[#This Row],[Proceso]]</f>
        <v>0</v>
      </c>
      <c r="C296" s="140" t="e">
        <f>C_S_Digital[[#This Row],[Código riesgo]]</f>
        <v>#VALUE!</v>
      </c>
      <c r="D296" s="175" t="str">
        <f>C_S_Digital[[#This Row],[Código control]]</f>
        <v/>
      </c>
      <c r="E296" s="164"/>
      <c r="F296" s="24"/>
      <c r="G296" s="164"/>
      <c r="H296" s="55"/>
      <c r="I296" s="55"/>
      <c r="J296" s="55"/>
      <c r="K296" s="55"/>
      <c r="L296" s="54"/>
      <c r="M296" s="22"/>
      <c r="N296" s="23"/>
      <c r="O296" s="56"/>
      <c r="P296" s="57"/>
      <c r="Q296" s="57"/>
      <c r="R296" s="58"/>
      <c r="S296" s="59"/>
      <c r="T296" s="60"/>
    </row>
    <row r="297" spans="1:20" ht="16.5" x14ac:dyDescent="0.25">
      <c r="A297" s="174">
        <f>C_S_Digital[[#This Row],[ID_C]]</f>
        <v>292</v>
      </c>
      <c r="B297" s="139">
        <f>C_S_Digital[[#This Row],[Proceso]]</f>
        <v>0</v>
      </c>
      <c r="C297" s="140" t="e">
        <f>C_S_Digital[[#This Row],[Código riesgo]]</f>
        <v>#VALUE!</v>
      </c>
      <c r="D297" s="175" t="str">
        <f>C_S_Digital[[#This Row],[Código control]]</f>
        <v/>
      </c>
      <c r="E297" s="164"/>
      <c r="F297" s="24"/>
      <c r="G297" s="164"/>
      <c r="H297" s="55"/>
      <c r="I297" s="55"/>
      <c r="J297" s="55"/>
      <c r="K297" s="55"/>
      <c r="L297" s="54"/>
      <c r="M297" s="22"/>
      <c r="N297" s="23"/>
      <c r="O297" s="56"/>
      <c r="P297" s="57"/>
      <c r="Q297" s="57"/>
      <c r="R297" s="58"/>
      <c r="S297" s="59"/>
      <c r="T297" s="60"/>
    </row>
    <row r="298" spans="1:20" ht="16.5" x14ac:dyDescent="0.25">
      <c r="A298" s="174">
        <f>C_S_Digital[[#This Row],[ID_C]]</f>
        <v>293</v>
      </c>
      <c r="B298" s="139">
        <f>C_S_Digital[[#This Row],[Proceso]]</f>
        <v>0</v>
      </c>
      <c r="C298" s="140" t="e">
        <f>C_S_Digital[[#This Row],[Código riesgo]]</f>
        <v>#VALUE!</v>
      </c>
      <c r="D298" s="175" t="str">
        <f>C_S_Digital[[#This Row],[Código control]]</f>
        <v/>
      </c>
      <c r="E298" s="164"/>
      <c r="F298" s="24"/>
      <c r="G298" s="164"/>
      <c r="H298" s="55"/>
      <c r="I298" s="55"/>
      <c r="J298" s="55"/>
      <c r="K298" s="55"/>
      <c r="L298" s="54"/>
      <c r="M298" s="22"/>
      <c r="N298" s="23"/>
      <c r="O298" s="56"/>
      <c r="P298" s="57"/>
      <c r="Q298" s="57"/>
      <c r="R298" s="58"/>
      <c r="S298" s="59"/>
      <c r="T298" s="60"/>
    </row>
    <row r="299" spans="1:20" ht="17.25" thickBot="1" x14ac:dyDescent="0.3">
      <c r="A299" s="176">
        <f>C_S_Digital[[#This Row],[ID_C]]</f>
        <v>294</v>
      </c>
      <c r="B299" s="177">
        <f>C_S_Digital[[#This Row],[Proceso]]</f>
        <v>0</v>
      </c>
      <c r="C299" s="178" t="e">
        <f>C_S_Digital[[#This Row],[Código riesgo]]</f>
        <v>#VALUE!</v>
      </c>
      <c r="D299" s="179" t="str">
        <f>C_S_Digital[[#This Row],[Código control]]</f>
        <v/>
      </c>
      <c r="E299" s="165"/>
      <c r="F299" s="33"/>
      <c r="G299" s="165"/>
      <c r="H299" s="62"/>
      <c r="I299" s="62"/>
      <c r="J299" s="62"/>
      <c r="K299" s="62"/>
      <c r="L299" s="61"/>
      <c r="M299" s="31"/>
      <c r="N299" s="32"/>
      <c r="O299" s="63"/>
      <c r="P299" s="64"/>
      <c r="Q299" s="64"/>
      <c r="R299" s="65"/>
      <c r="S299" s="66"/>
      <c r="T299" s="67"/>
    </row>
    <row r="300" spans="1:20" ht="16.5" x14ac:dyDescent="0.25">
      <c r="A300" s="170">
        <f>C_S_Digital[[#This Row],[ID_C]]</f>
        <v>295</v>
      </c>
      <c r="B300" s="171">
        <f>C_S_Digital[[#This Row],[Proceso]]</f>
        <v>0</v>
      </c>
      <c r="C300" s="172" t="e">
        <f>C_S_Digital[[#This Row],[Código riesgo]]</f>
        <v>#VALUE!</v>
      </c>
      <c r="D300" s="173" t="str">
        <f>C_S_Digital[[#This Row],[Código control]]</f>
        <v/>
      </c>
      <c r="E300" s="166"/>
      <c r="F300" s="16"/>
      <c r="G300" s="166"/>
      <c r="H300" s="69"/>
      <c r="I300" s="69"/>
      <c r="J300" s="69"/>
      <c r="K300" s="69"/>
      <c r="L300" s="68"/>
      <c r="M300" s="14"/>
      <c r="N300" s="15"/>
      <c r="O300" s="70"/>
      <c r="P300" s="71"/>
      <c r="Q300" s="71"/>
      <c r="R300" s="72"/>
      <c r="S300" s="73"/>
      <c r="T300" s="74"/>
    </row>
    <row r="301" spans="1:20" ht="16.5" x14ac:dyDescent="0.25">
      <c r="A301" s="174">
        <f>C_S_Digital[[#This Row],[ID_C]]</f>
        <v>296</v>
      </c>
      <c r="B301" s="139">
        <f>C_S_Digital[[#This Row],[Proceso]]</f>
        <v>0</v>
      </c>
      <c r="C301" s="140" t="e">
        <f>C_S_Digital[[#This Row],[Código riesgo]]</f>
        <v>#VALUE!</v>
      </c>
      <c r="D301" s="175" t="str">
        <f>C_S_Digital[[#This Row],[Código control]]</f>
        <v/>
      </c>
      <c r="E301" s="164"/>
      <c r="F301" s="24"/>
      <c r="G301" s="164"/>
      <c r="H301" s="55"/>
      <c r="I301" s="55"/>
      <c r="J301" s="55"/>
      <c r="K301" s="55"/>
      <c r="L301" s="54"/>
      <c r="M301" s="22"/>
      <c r="N301" s="23"/>
      <c r="O301" s="56"/>
      <c r="P301" s="57"/>
      <c r="Q301" s="57"/>
      <c r="R301" s="58"/>
      <c r="S301" s="59"/>
      <c r="T301" s="60"/>
    </row>
    <row r="302" spans="1:20" ht="16.5" x14ac:dyDescent="0.25">
      <c r="A302" s="174">
        <f>C_S_Digital[[#This Row],[ID_C]]</f>
        <v>297</v>
      </c>
      <c r="B302" s="139">
        <f>C_S_Digital[[#This Row],[Proceso]]</f>
        <v>0</v>
      </c>
      <c r="C302" s="140" t="e">
        <f>C_S_Digital[[#This Row],[Código riesgo]]</f>
        <v>#VALUE!</v>
      </c>
      <c r="D302" s="175" t="str">
        <f>C_S_Digital[[#This Row],[Código control]]</f>
        <v/>
      </c>
      <c r="E302" s="164"/>
      <c r="F302" s="24"/>
      <c r="G302" s="164"/>
      <c r="H302" s="55"/>
      <c r="I302" s="55"/>
      <c r="J302" s="55"/>
      <c r="K302" s="55"/>
      <c r="L302" s="54"/>
      <c r="M302" s="22"/>
      <c r="N302" s="23"/>
      <c r="O302" s="56"/>
      <c r="P302" s="57"/>
      <c r="Q302" s="57"/>
      <c r="R302" s="58"/>
      <c r="S302" s="59"/>
      <c r="T302" s="60"/>
    </row>
    <row r="303" spans="1:20" ht="16.5" x14ac:dyDescent="0.25">
      <c r="A303" s="174">
        <f>C_S_Digital[[#This Row],[ID_C]]</f>
        <v>298</v>
      </c>
      <c r="B303" s="139">
        <f>C_S_Digital[[#This Row],[Proceso]]</f>
        <v>0</v>
      </c>
      <c r="C303" s="140" t="e">
        <f>C_S_Digital[[#This Row],[Código riesgo]]</f>
        <v>#VALUE!</v>
      </c>
      <c r="D303" s="175" t="str">
        <f>C_S_Digital[[#This Row],[Código control]]</f>
        <v/>
      </c>
      <c r="E303" s="164"/>
      <c r="F303" s="24"/>
      <c r="G303" s="164"/>
      <c r="H303" s="55"/>
      <c r="I303" s="55"/>
      <c r="J303" s="55"/>
      <c r="K303" s="55"/>
      <c r="L303" s="54"/>
      <c r="M303" s="22"/>
      <c r="N303" s="23"/>
      <c r="O303" s="56"/>
      <c r="P303" s="57"/>
      <c r="Q303" s="57"/>
      <c r="R303" s="58"/>
      <c r="S303" s="59"/>
      <c r="T303" s="60"/>
    </row>
    <row r="304" spans="1:20" ht="16.5" x14ac:dyDescent="0.25">
      <c r="A304" s="174">
        <f>C_S_Digital[[#This Row],[ID_C]]</f>
        <v>299</v>
      </c>
      <c r="B304" s="139">
        <f>C_S_Digital[[#This Row],[Proceso]]</f>
        <v>0</v>
      </c>
      <c r="C304" s="140" t="e">
        <f>C_S_Digital[[#This Row],[Código riesgo]]</f>
        <v>#VALUE!</v>
      </c>
      <c r="D304" s="175" t="str">
        <f>C_S_Digital[[#This Row],[Código control]]</f>
        <v/>
      </c>
      <c r="E304" s="164"/>
      <c r="F304" s="24"/>
      <c r="G304" s="164"/>
      <c r="H304" s="55"/>
      <c r="I304" s="55"/>
      <c r="J304" s="55"/>
      <c r="K304" s="55"/>
      <c r="L304" s="54"/>
      <c r="M304" s="22"/>
      <c r="N304" s="23"/>
      <c r="O304" s="56"/>
      <c r="P304" s="57"/>
      <c r="Q304" s="57"/>
      <c r="R304" s="58"/>
      <c r="S304" s="59"/>
      <c r="T304" s="60"/>
    </row>
    <row r="305" spans="1:20" ht="17.25" thickBot="1" x14ac:dyDescent="0.3">
      <c r="A305" s="176">
        <f>C_S_Digital[[#This Row],[ID_C]]</f>
        <v>300</v>
      </c>
      <c r="B305" s="177">
        <f>C_S_Digital[[#This Row],[Proceso]]</f>
        <v>0</v>
      </c>
      <c r="C305" s="178" t="e">
        <f>C_S_Digital[[#This Row],[Código riesgo]]</f>
        <v>#VALUE!</v>
      </c>
      <c r="D305" s="179" t="str">
        <f>C_S_Digital[[#This Row],[Código control]]</f>
        <v/>
      </c>
      <c r="E305" s="165"/>
      <c r="F305" s="33"/>
      <c r="G305" s="165"/>
      <c r="H305" s="62"/>
      <c r="I305" s="62"/>
      <c r="J305" s="62"/>
      <c r="K305" s="62"/>
      <c r="L305" s="61"/>
      <c r="M305" s="31"/>
      <c r="N305" s="32"/>
      <c r="O305" s="63"/>
      <c r="P305" s="64"/>
      <c r="Q305" s="64"/>
      <c r="R305" s="65"/>
      <c r="S305" s="66"/>
      <c r="T305" s="67"/>
    </row>
    <row r="306" spans="1:20" ht="16.5" x14ac:dyDescent="0.25">
      <c r="A306" s="170">
        <f>C_S_Digital[[#This Row],[ID_C]]</f>
        <v>301</v>
      </c>
      <c r="B306" s="171">
        <f>C_S_Digital[[#This Row],[Proceso]]</f>
        <v>0</v>
      </c>
      <c r="C306" s="172" t="e">
        <f>C_S_Digital[[#This Row],[Código riesgo]]</f>
        <v>#VALUE!</v>
      </c>
      <c r="D306" s="173" t="str">
        <f>C_S_Digital[[#This Row],[Código control]]</f>
        <v/>
      </c>
      <c r="E306" s="166"/>
      <c r="F306" s="16"/>
      <c r="G306" s="166"/>
      <c r="H306" s="69"/>
      <c r="I306" s="69"/>
      <c r="J306" s="69"/>
      <c r="K306" s="69"/>
      <c r="L306" s="68"/>
      <c r="M306" s="14"/>
      <c r="N306" s="15"/>
      <c r="O306" s="70"/>
      <c r="P306" s="71"/>
      <c r="Q306" s="71"/>
      <c r="R306" s="72"/>
      <c r="S306" s="73"/>
      <c r="T306" s="74"/>
    </row>
    <row r="307" spans="1:20" ht="16.5" x14ac:dyDescent="0.25">
      <c r="A307" s="174">
        <f>C_S_Digital[[#This Row],[ID_C]]</f>
        <v>302</v>
      </c>
      <c r="B307" s="139">
        <f>C_S_Digital[[#This Row],[Proceso]]</f>
        <v>0</v>
      </c>
      <c r="C307" s="140" t="e">
        <f>C_S_Digital[[#This Row],[Código riesgo]]</f>
        <v>#VALUE!</v>
      </c>
      <c r="D307" s="175" t="str">
        <f>C_S_Digital[[#This Row],[Código control]]</f>
        <v/>
      </c>
      <c r="E307" s="164"/>
      <c r="F307" s="24"/>
      <c r="G307" s="164"/>
      <c r="H307" s="55"/>
      <c r="I307" s="55"/>
      <c r="J307" s="55"/>
      <c r="K307" s="55"/>
      <c r="L307" s="54"/>
      <c r="M307" s="22"/>
      <c r="N307" s="23"/>
      <c r="O307" s="56"/>
      <c r="P307" s="57"/>
      <c r="Q307" s="57"/>
      <c r="R307" s="58"/>
      <c r="S307" s="59"/>
      <c r="T307" s="60"/>
    </row>
    <row r="308" spans="1:20" ht="16.5" x14ac:dyDescent="0.25">
      <c r="A308" s="174">
        <f>C_S_Digital[[#This Row],[ID_C]]</f>
        <v>303</v>
      </c>
      <c r="B308" s="139">
        <f>C_S_Digital[[#This Row],[Proceso]]</f>
        <v>0</v>
      </c>
      <c r="C308" s="140" t="e">
        <f>C_S_Digital[[#This Row],[Código riesgo]]</f>
        <v>#VALUE!</v>
      </c>
      <c r="D308" s="175" t="str">
        <f>C_S_Digital[[#This Row],[Código control]]</f>
        <v/>
      </c>
      <c r="E308" s="164"/>
      <c r="F308" s="24"/>
      <c r="G308" s="164"/>
      <c r="H308" s="55"/>
      <c r="I308" s="55"/>
      <c r="J308" s="55"/>
      <c r="K308" s="55"/>
      <c r="L308" s="54"/>
      <c r="M308" s="22"/>
      <c r="N308" s="23"/>
      <c r="O308" s="56"/>
      <c r="P308" s="57"/>
      <c r="Q308" s="57"/>
      <c r="R308" s="58"/>
      <c r="S308" s="59"/>
      <c r="T308" s="60"/>
    </row>
    <row r="309" spans="1:20" ht="16.5" x14ac:dyDescent="0.25">
      <c r="A309" s="174">
        <f>C_S_Digital[[#This Row],[ID_C]]</f>
        <v>304</v>
      </c>
      <c r="B309" s="139">
        <f>C_S_Digital[[#This Row],[Proceso]]</f>
        <v>0</v>
      </c>
      <c r="C309" s="140" t="e">
        <f>C_S_Digital[[#This Row],[Código riesgo]]</f>
        <v>#VALUE!</v>
      </c>
      <c r="D309" s="175" t="str">
        <f>C_S_Digital[[#This Row],[Código control]]</f>
        <v/>
      </c>
      <c r="E309" s="164"/>
      <c r="F309" s="24"/>
      <c r="G309" s="164"/>
      <c r="H309" s="55"/>
      <c r="I309" s="55"/>
      <c r="J309" s="55"/>
      <c r="K309" s="55"/>
      <c r="L309" s="54"/>
      <c r="M309" s="22"/>
      <c r="N309" s="23"/>
      <c r="O309" s="56"/>
      <c r="P309" s="57"/>
      <c r="Q309" s="57"/>
      <c r="R309" s="58"/>
      <c r="S309" s="59"/>
      <c r="T309" s="60"/>
    </row>
    <row r="310" spans="1:20" ht="16.5" x14ac:dyDescent="0.25">
      <c r="A310" s="174">
        <f>C_S_Digital[[#This Row],[ID_C]]</f>
        <v>305</v>
      </c>
      <c r="B310" s="139">
        <f>C_S_Digital[[#This Row],[Proceso]]</f>
        <v>0</v>
      </c>
      <c r="C310" s="140" t="e">
        <f>C_S_Digital[[#This Row],[Código riesgo]]</f>
        <v>#VALUE!</v>
      </c>
      <c r="D310" s="175" t="str">
        <f>C_S_Digital[[#This Row],[Código control]]</f>
        <v/>
      </c>
      <c r="E310" s="164"/>
      <c r="F310" s="24"/>
      <c r="G310" s="164"/>
      <c r="H310" s="55"/>
      <c r="I310" s="55"/>
      <c r="J310" s="55"/>
      <c r="K310" s="55"/>
      <c r="L310" s="54"/>
      <c r="M310" s="22"/>
      <c r="N310" s="23"/>
      <c r="O310" s="56"/>
      <c r="P310" s="57"/>
      <c r="Q310" s="57"/>
      <c r="R310" s="58"/>
      <c r="S310" s="59"/>
      <c r="T310" s="60"/>
    </row>
    <row r="311" spans="1:20" ht="17.25" thickBot="1" x14ac:dyDescent="0.3">
      <c r="A311" s="176">
        <f>C_S_Digital[[#This Row],[ID_C]]</f>
        <v>306</v>
      </c>
      <c r="B311" s="177">
        <f>C_S_Digital[[#This Row],[Proceso]]</f>
        <v>0</v>
      </c>
      <c r="C311" s="178" t="e">
        <f>C_S_Digital[[#This Row],[Código riesgo]]</f>
        <v>#VALUE!</v>
      </c>
      <c r="D311" s="179" t="str">
        <f>C_S_Digital[[#This Row],[Código control]]</f>
        <v/>
      </c>
      <c r="E311" s="165"/>
      <c r="F311" s="33"/>
      <c r="G311" s="165"/>
      <c r="H311" s="62"/>
      <c r="I311" s="62"/>
      <c r="J311" s="62"/>
      <c r="K311" s="62"/>
      <c r="L311" s="61"/>
      <c r="M311" s="31"/>
      <c r="N311" s="32"/>
      <c r="O311" s="63"/>
      <c r="P311" s="64"/>
      <c r="Q311" s="64"/>
      <c r="R311" s="65"/>
      <c r="S311" s="66"/>
      <c r="T311" s="67"/>
    </row>
    <row r="312" spans="1:20" ht="16.5" x14ac:dyDescent="0.25">
      <c r="A312" s="170">
        <f>C_S_Digital[[#This Row],[ID_C]]</f>
        <v>307</v>
      </c>
      <c r="B312" s="171">
        <f>C_S_Digital[[#This Row],[Proceso]]</f>
        <v>0</v>
      </c>
      <c r="C312" s="172" t="e">
        <f>C_S_Digital[[#This Row],[Código riesgo]]</f>
        <v>#VALUE!</v>
      </c>
      <c r="D312" s="173" t="str">
        <f>C_S_Digital[[#This Row],[Código control]]</f>
        <v/>
      </c>
      <c r="E312" s="166"/>
      <c r="F312" s="16"/>
      <c r="G312" s="166"/>
      <c r="H312" s="69"/>
      <c r="I312" s="69"/>
      <c r="J312" s="69"/>
      <c r="K312" s="69"/>
      <c r="L312" s="68"/>
      <c r="M312" s="14"/>
      <c r="N312" s="15"/>
      <c r="O312" s="70"/>
      <c r="P312" s="71"/>
      <c r="Q312" s="71"/>
      <c r="R312" s="72"/>
      <c r="S312" s="73"/>
      <c r="T312" s="74"/>
    </row>
    <row r="313" spans="1:20" ht="16.5" x14ac:dyDescent="0.25">
      <c r="A313" s="174">
        <f>C_S_Digital[[#This Row],[ID_C]]</f>
        <v>308</v>
      </c>
      <c r="B313" s="139">
        <f>C_S_Digital[[#This Row],[Proceso]]</f>
        <v>0</v>
      </c>
      <c r="C313" s="140" t="e">
        <f>C_S_Digital[[#This Row],[Código riesgo]]</f>
        <v>#VALUE!</v>
      </c>
      <c r="D313" s="175" t="str">
        <f>C_S_Digital[[#This Row],[Código control]]</f>
        <v/>
      </c>
      <c r="E313" s="164"/>
      <c r="F313" s="24"/>
      <c r="G313" s="164"/>
      <c r="H313" s="55"/>
      <c r="I313" s="55"/>
      <c r="J313" s="55"/>
      <c r="K313" s="55"/>
      <c r="L313" s="54"/>
      <c r="M313" s="22"/>
      <c r="N313" s="23"/>
      <c r="O313" s="56"/>
      <c r="P313" s="57"/>
      <c r="Q313" s="57"/>
      <c r="R313" s="58"/>
      <c r="S313" s="59"/>
      <c r="T313" s="60"/>
    </row>
    <row r="314" spans="1:20" ht="16.5" x14ac:dyDescent="0.25">
      <c r="A314" s="174">
        <f>C_S_Digital[[#This Row],[ID_C]]</f>
        <v>309</v>
      </c>
      <c r="B314" s="139">
        <f>C_S_Digital[[#This Row],[Proceso]]</f>
        <v>0</v>
      </c>
      <c r="C314" s="140" t="e">
        <f>C_S_Digital[[#This Row],[Código riesgo]]</f>
        <v>#VALUE!</v>
      </c>
      <c r="D314" s="175" t="str">
        <f>C_S_Digital[[#This Row],[Código control]]</f>
        <v/>
      </c>
      <c r="E314" s="164"/>
      <c r="F314" s="24"/>
      <c r="G314" s="164"/>
      <c r="H314" s="55"/>
      <c r="I314" s="55"/>
      <c r="J314" s="55"/>
      <c r="K314" s="55"/>
      <c r="L314" s="54"/>
      <c r="M314" s="22"/>
      <c r="N314" s="23"/>
      <c r="O314" s="56"/>
      <c r="P314" s="57"/>
      <c r="Q314" s="57"/>
      <c r="R314" s="58"/>
      <c r="S314" s="59"/>
      <c r="T314" s="60"/>
    </row>
    <row r="315" spans="1:20" ht="16.5" x14ac:dyDescent="0.25">
      <c r="A315" s="174">
        <f>C_S_Digital[[#This Row],[ID_C]]</f>
        <v>310</v>
      </c>
      <c r="B315" s="139">
        <f>C_S_Digital[[#This Row],[Proceso]]</f>
        <v>0</v>
      </c>
      <c r="C315" s="140" t="e">
        <f>C_S_Digital[[#This Row],[Código riesgo]]</f>
        <v>#VALUE!</v>
      </c>
      <c r="D315" s="175" t="str">
        <f>C_S_Digital[[#This Row],[Código control]]</f>
        <v/>
      </c>
      <c r="E315" s="164"/>
      <c r="F315" s="24"/>
      <c r="G315" s="164"/>
      <c r="H315" s="55"/>
      <c r="I315" s="55"/>
      <c r="J315" s="55"/>
      <c r="K315" s="55"/>
      <c r="L315" s="54"/>
      <c r="M315" s="22"/>
      <c r="N315" s="23"/>
      <c r="O315" s="56"/>
      <c r="P315" s="57"/>
      <c r="Q315" s="57"/>
      <c r="R315" s="58"/>
      <c r="S315" s="59"/>
      <c r="T315" s="60"/>
    </row>
    <row r="316" spans="1:20" ht="16.5" x14ac:dyDescent="0.25">
      <c r="A316" s="174">
        <f>C_S_Digital[[#This Row],[ID_C]]</f>
        <v>311</v>
      </c>
      <c r="B316" s="139">
        <f>C_S_Digital[[#This Row],[Proceso]]</f>
        <v>0</v>
      </c>
      <c r="C316" s="140" t="e">
        <f>C_S_Digital[[#This Row],[Código riesgo]]</f>
        <v>#VALUE!</v>
      </c>
      <c r="D316" s="175" t="str">
        <f>C_S_Digital[[#This Row],[Código control]]</f>
        <v/>
      </c>
      <c r="E316" s="164"/>
      <c r="F316" s="24"/>
      <c r="G316" s="164"/>
      <c r="H316" s="55"/>
      <c r="I316" s="55"/>
      <c r="J316" s="55"/>
      <c r="K316" s="55"/>
      <c r="L316" s="54"/>
      <c r="M316" s="22"/>
      <c r="N316" s="23"/>
      <c r="O316" s="56"/>
      <c r="P316" s="57"/>
      <c r="Q316" s="57"/>
      <c r="R316" s="58"/>
      <c r="S316" s="59"/>
      <c r="T316" s="60"/>
    </row>
    <row r="317" spans="1:20" ht="17.25" thickBot="1" x14ac:dyDescent="0.3">
      <c r="A317" s="176">
        <f>C_S_Digital[[#This Row],[ID_C]]</f>
        <v>312</v>
      </c>
      <c r="B317" s="177">
        <f>C_S_Digital[[#This Row],[Proceso]]</f>
        <v>0</v>
      </c>
      <c r="C317" s="178" t="e">
        <f>C_S_Digital[[#This Row],[Código riesgo]]</f>
        <v>#VALUE!</v>
      </c>
      <c r="D317" s="179" t="str">
        <f>C_S_Digital[[#This Row],[Código control]]</f>
        <v/>
      </c>
      <c r="E317" s="165"/>
      <c r="F317" s="33"/>
      <c r="G317" s="165"/>
      <c r="H317" s="62"/>
      <c r="I317" s="62"/>
      <c r="J317" s="62"/>
      <c r="K317" s="62"/>
      <c r="L317" s="61"/>
      <c r="M317" s="31"/>
      <c r="N317" s="32"/>
      <c r="O317" s="63"/>
      <c r="P317" s="64"/>
      <c r="Q317" s="64"/>
      <c r="R317" s="65"/>
      <c r="S317" s="66"/>
      <c r="T317" s="67"/>
    </row>
    <row r="318" spans="1:20" ht="16.5" x14ac:dyDescent="0.25">
      <c r="A318" s="170">
        <f>C_S_Digital[[#This Row],[ID_C]]</f>
        <v>313</v>
      </c>
      <c r="B318" s="171">
        <f>C_S_Digital[[#This Row],[Proceso]]</f>
        <v>0</v>
      </c>
      <c r="C318" s="172" t="e">
        <f>C_S_Digital[[#This Row],[Código riesgo]]</f>
        <v>#VALUE!</v>
      </c>
      <c r="D318" s="173" t="str">
        <f>C_S_Digital[[#This Row],[Código control]]</f>
        <v/>
      </c>
      <c r="E318" s="166"/>
      <c r="F318" s="16"/>
      <c r="G318" s="166"/>
      <c r="H318" s="69"/>
      <c r="I318" s="69"/>
      <c r="J318" s="69"/>
      <c r="K318" s="69"/>
      <c r="L318" s="68"/>
      <c r="M318" s="14"/>
      <c r="N318" s="15"/>
      <c r="O318" s="70"/>
      <c r="P318" s="71"/>
      <c r="Q318" s="71"/>
      <c r="R318" s="72"/>
      <c r="S318" s="73"/>
      <c r="T318" s="74"/>
    </row>
    <row r="319" spans="1:20" ht="16.5" x14ac:dyDescent="0.25">
      <c r="A319" s="174">
        <f>C_S_Digital[[#This Row],[ID_C]]</f>
        <v>314</v>
      </c>
      <c r="B319" s="139">
        <f>C_S_Digital[[#This Row],[Proceso]]</f>
        <v>0</v>
      </c>
      <c r="C319" s="140" t="e">
        <f>C_S_Digital[[#This Row],[Código riesgo]]</f>
        <v>#VALUE!</v>
      </c>
      <c r="D319" s="175" t="str">
        <f>C_S_Digital[[#This Row],[Código control]]</f>
        <v/>
      </c>
      <c r="E319" s="164"/>
      <c r="F319" s="24"/>
      <c r="G319" s="164"/>
      <c r="H319" s="55"/>
      <c r="I319" s="55"/>
      <c r="J319" s="55"/>
      <c r="K319" s="55"/>
      <c r="L319" s="54"/>
      <c r="M319" s="22"/>
      <c r="N319" s="23"/>
      <c r="O319" s="56"/>
      <c r="P319" s="57"/>
      <c r="Q319" s="57"/>
      <c r="R319" s="58"/>
      <c r="S319" s="59"/>
      <c r="T319" s="60"/>
    </row>
    <row r="320" spans="1:20" ht="16.5" x14ac:dyDescent="0.25">
      <c r="A320" s="174">
        <f>C_S_Digital[[#This Row],[ID_C]]</f>
        <v>315</v>
      </c>
      <c r="B320" s="139">
        <f>C_S_Digital[[#This Row],[Proceso]]</f>
        <v>0</v>
      </c>
      <c r="C320" s="140" t="e">
        <f>C_S_Digital[[#This Row],[Código riesgo]]</f>
        <v>#VALUE!</v>
      </c>
      <c r="D320" s="175" t="str">
        <f>C_S_Digital[[#This Row],[Código control]]</f>
        <v/>
      </c>
      <c r="E320" s="164"/>
      <c r="F320" s="24"/>
      <c r="G320" s="164"/>
      <c r="H320" s="55"/>
      <c r="I320" s="55"/>
      <c r="J320" s="55"/>
      <c r="K320" s="55"/>
      <c r="L320" s="54"/>
      <c r="M320" s="22"/>
      <c r="N320" s="23"/>
      <c r="O320" s="56"/>
      <c r="P320" s="57"/>
      <c r="Q320" s="57"/>
      <c r="R320" s="58"/>
      <c r="S320" s="59"/>
      <c r="T320" s="60"/>
    </row>
    <row r="321" spans="1:20" ht="16.5" x14ac:dyDescent="0.25">
      <c r="A321" s="174">
        <f>C_S_Digital[[#This Row],[ID_C]]</f>
        <v>316</v>
      </c>
      <c r="B321" s="139">
        <f>C_S_Digital[[#This Row],[Proceso]]</f>
        <v>0</v>
      </c>
      <c r="C321" s="140" t="e">
        <f>C_S_Digital[[#This Row],[Código riesgo]]</f>
        <v>#VALUE!</v>
      </c>
      <c r="D321" s="175" t="str">
        <f>C_S_Digital[[#This Row],[Código control]]</f>
        <v/>
      </c>
      <c r="E321" s="164"/>
      <c r="F321" s="24"/>
      <c r="G321" s="164"/>
      <c r="H321" s="55"/>
      <c r="I321" s="55"/>
      <c r="J321" s="55"/>
      <c r="K321" s="55"/>
      <c r="L321" s="54"/>
      <c r="M321" s="22"/>
      <c r="N321" s="23"/>
      <c r="O321" s="56"/>
      <c r="P321" s="57"/>
      <c r="Q321" s="57"/>
      <c r="R321" s="58"/>
      <c r="S321" s="59"/>
      <c r="T321" s="60"/>
    </row>
    <row r="322" spans="1:20" ht="16.5" x14ac:dyDescent="0.25">
      <c r="A322" s="174">
        <f>C_S_Digital[[#This Row],[ID_C]]</f>
        <v>317</v>
      </c>
      <c r="B322" s="139">
        <f>C_S_Digital[[#This Row],[Proceso]]</f>
        <v>0</v>
      </c>
      <c r="C322" s="140" t="e">
        <f>C_S_Digital[[#This Row],[Código riesgo]]</f>
        <v>#VALUE!</v>
      </c>
      <c r="D322" s="175" t="str">
        <f>C_S_Digital[[#This Row],[Código control]]</f>
        <v/>
      </c>
      <c r="E322" s="164"/>
      <c r="F322" s="24"/>
      <c r="G322" s="164"/>
      <c r="H322" s="55"/>
      <c r="I322" s="55"/>
      <c r="J322" s="55"/>
      <c r="K322" s="55"/>
      <c r="L322" s="54"/>
      <c r="M322" s="22"/>
      <c r="N322" s="23"/>
      <c r="O322" s="56"/>
      <c r="P322" s="57"/>
      <c r="Q322" s="57"/>
      <c r="R322" s="58"/>
      <c r="S322" s="59"/>
      <c r="T322" s="60"/>
    </row>
    <row r="323" spans="1:20" ht="17.25" thickBot="1" x14ac:dyDescent="0.3">
      <c r="A323" s="176">
        <f>C_S_Digital[[#This Row],[ID_C]]</f>
        <v>318</v>
      </c>
      <c r="B323" s="177">
        <f>C_S_Digital[[#This Row],[Proceso]]</f>
        <v>0</v>
      </c>
      <c r="C323" s="178" t="e">
        <f>C_S_Digital[[#This Row],[Código riesgo]]</f>
        <v>#VALUE!</v>
      </c>
      <c r="D323" s="179" t="str">
        <f>C_S_Digital[[#This Row],[Código control]]</f>
        <v/>
      </c>
      <c r="E323" s="165"/>
      <c r="F323" s="33"/>
      <c r="G323" s="165"/>
      <c r="H323" s="62"/>
      <c r="I323" s="62"/>
      <c r="J323" s="62"/>
      <c r="K323" s="62"/>
      <c r="L323" s="61"/>
      <c r="M323" s="31"/>
      <c r="N323" s="32"/>
      <c r="O323" s="63"/>
      <c r="P323" s="64"/>
      <c r="Q323" s="64"/>
      <c r="R323" s="65"/>
      <c r="S323" s="66"/>
      <c r="T323" s="67"/>
    </row>
    <row r="324" spans="1:20" ht="16.5" x14ac:dyDescent="0.25">
      <c r="A324" s="170">
        <f>C_S_Digital[[#This Row],[ID_C]]</f>
        <v>319</v>
      </c>
      <c r="B324" s="171">
        <f>C_S_Digital[[#This Row],[Proceso]]</f>
        <v>0</v>
      </c>
      <c r="C324" s="172" t="e">
        <f>C_S_Digital[[#This Row],[Código riesgo]]</f>
        <v>#VALUE!</v>
      </c>
      <c r="D324" s="173" t="str">
        <f>C_S_Digital[[#This Row],[Código control]]</f>
        <v/>
      </c>
      <c r="E324" s="166"/>
      <c r="F324" s="16"/>
      <c r="G324" s="166"/>
      <c r="H324" s="69"/>
      <c r="I324" s="69"/>
      <c r="J324" s="69"/>
      <c r="K324" s="69"/>
      <c r="L324" s="68"/>
      <c r="M324" s="14"/>
      <c r="N324" s="15"/>
      <c r="O324" s="70"/>
      <c r="P324" s="71"/>
      <c r="Q324" s="71"/>
      <c r="R324" s="72"/>
      <c r="S324" s="73"/>
      <c r="T324" s="74"/>
    </row>
    <row r="325" spans="1:20" ht="16.5" x14ac:dyDescent="0.25">
      <c r="A325" s="174">
        <f>C_S_Digital[[#This Row],[ID_C]]</f>
        <v>320</v>
      </c>
      <c r="B325" s="139">
        <f>C_S_Digital[[#This Row],[Proceso]]</f>
        <v>0</v>
      </c>
      <c r="C325" s="140" t="e">
        <f>C_S_Digital[[#This Row],[Código riesgo]]</f>
        <v>#VALUE!</v>
      </c>
      <c r="D325" s="175" t="str">
        <f>C_S_Digital[[#This Row],[Código control]]</f>
        <v/>
      </c>
      <c r="E325" s="164"/>
      <c r="F325" s="24"/>
      <c r="G325" s="164"/>
      <c r="H325" s="55"/>
      <c r="I325" s="55"/>
      <c r="J325" s="55"/>
      <c r="K325" s="55"/>
      <c r="L325" s="54"/>
      <c r="M325" s="22"/>
      <c r="N325" s="23"/>
      <c r="O325" s="56"/>
      <c r="P325" s="57"/>
      <c r="Q325" s="57"/>
      <c r="R325" s="58"/>
      <c r="S325" s="59"/>
      <c r="T325" s="60"/>
    </row>
    <row r="326" spans="1:20" ht="16.5" x14ac:dyDescent="0.25">
      <c r="A326" s="174">
        <f>C_S_Digital[[#This Row],[ID_C]]</f>
        <v>321</v>
      </c>
      <c r="B326" s="139">
        <f>C_S_Digital[[#This Row],[Proceso]]</f>
        <v>0</v>
      </c>
      <c r="C326" s="140" t="e">
        <f>C_S_Digital[[#This Row],[Código riesgo]]</f>
        <v>#VALUE!</v>
      </c>
      <c r="D326" s="175" t="str">
        <f>C_S_Digital[[#This Row],[Código control]]</f>
        <v/>
      </c>
      <c r="E326" s="164"/>
      <c r="F326" s="24"/>
      <c r="G326" s="164"/>
      <c r="H326" s="55"/>
      <c r="I326" s="55"/>
      <c r="J326" s="55"/>
      <c r="K326" s="55"/>
      <c r="L326" s="54"/>
      <c r="M326" s="22"/>
      <c r="N326" s="23"/>
      <c r="O326" s="56"/>
      <c r="P326" s="57"/>
      <c r="Q326" s="57"/>
      <c r="R326" s="58"/>
      <c r="S326" s="59"/>
      <c r="T326" s="60"/>
    </row>
    <row r="327" spans="1:20" ht="16.5" x14ac:dyDescent="0.25">
      <c r="A327" s="174">
        <f>C_S_Digital[[#This Row],[ID_C]]</f>
        <v>322</v>
      </c>
      <c r="B327" s="139">
        <f>C_S_Digital[[#This Row],[Proceso]]</f>
        <v>0</v>
      </c>
      <c r="C327" s="140" t="e">
        <f>C_S_Digital[[#This Row],[Código riesgo]]</f>
        <v>#VALUE!</v>
      </c>
      <c r="D327" s="175" t="str">
        <f>C_S_Digital[[#This Row],[Código control]]</f>
        <v/>
      </c>
      <c r="E327" s="164"/>
      <c r="F327" s="24"/>
      <c r="G327" s="164"/>
      <c r="H327" s="55"/>
      <c r="I327" s="55"/>
      <c r="J327" s="55"/>
      <c r="K327" s="55"/>
      <c r="L327" s="54"/>
      <c r="M327" s="22"/>
      <c r="N327" s="23"/>
      <c r="O327" s="56"/>
      <c r="P327" s="57"/>
      <c r="Q327" s="57"/>
      <c r="R327" s="58"/>
      <c r="S327" s="59"/>
      <c r="T327" s="60"/>
    </row>
    <row r="328" spans="1:20" ht="16.5" x14ac:dyDescent="0.25">
      <c r="A328" s="174">
        <f>C_S_Digital[[#This Row],[ID_C]]</f>
        <v>323</v>
      </c>
      <c r="B328" s="139">
        <f>C_S_Digital[[#This Row],[Proceso]]</f>
        <v>0</v>
      </c>
      <c r="C328" s="140" t="e">
        <f>C_S_Digital[[#This Row],[Código riesgo]]</f>
        <v>#VALUE!</v>
      </c>
      <c r="D328" s="175" t="str">
        <f>C_S_Digital[[#This Row],[Código control]]</f>
        <v/>
      </c>
      <c r="E328" s="164"/>
      <c r="F328" s="24"/>
      <c r="G328" s="164"/>
      <c r="H328" s="55"/>
      <c r="I328" s="55"/>
      <c r="J328" s="55"/>
      <c r="K328" s="55"/>
      <c r="L328" s="54"/>
      <c r="M328" s="22"/>
      <c r="N328" s="23"/>
      <c r="O328" s="56"/>
      <c r="P328" s="57"/>
      <c r="Q328" s="57"/>
      <c r="R328" s="58"/>
      <c r="S328" s="59"/>
      <c r="T328" s="60"/>
    </row>
    <row r="329" spans="1:20" ht="17.25" thickBot="1" x14ac:dyDescent="0.3">
      <c r="A329" s="176">
        <f>C_S_Digital[[#This Row],[ID_C]]</f>
        <v>324</v>
      </c>
      <c r="B329" s="177">
        <f>C_S_Digital[[#This Row],[Proceso]]</f>
        <v>0</v>
      </c>
      <c r="C329" s="178" t="e">
        <f>C_S_Digital[[#This Row],[Código riesgo]]</f>
        <v>#VALUE!</v>
      </c>
      <c r="D329" s="179" t="str">
        <f>C_S_Digital[[#This Row],[Código control]]</f>
        <v/>
      </c>
      <c r="E329" s="165"/>
      <c r="F329" s="33"/>
      <c r="G329" s="165"/>
      <c r="H329" s="62"/>
      <c r="I329" s="62"/>
      <c r="J329" s="62"/>
      <c r="K329" s="62"/>
      <c r="L329" s="61"/>
      <c r="M329" s="31"/>
      <c r="N329" s="32"/>
      <c r="O329" s="63"/>
      <c r="P329" s="64"/>
      <c r="Q329" s="64"/>
      <c r="R329" s="65"/>
      <c r="S329" s="66"/>
      <c r="T329" s="67"/>
    </row>
    <row r="330" spans="1:20" ht="16.5" x14ac:dyDescent="0.25">
      <c r="A330" s="170">
        <f>C_S_Digital[[#This Row],[ID_C]]</f>
        <v>325</v>
      </c>
      <c r="B330" s="171">
        <f>C_S_Digital[[#This Row],[Proceso]]</f>
        <v>0</v>
      </c>
      <c r="C330" s="172" t="e">
        <f>C_S_Digital[[#This Row],[Código riesgo]]</f>
        <v>#VALUE!</v>
      </c>
      <c r="D330" s="173" t="str">
        <f>C_S_Digital[[#This Row],[Código control]]</f>
        <v/>
      </c>
      <c r="E330" s="166"/>
      <c r="F330" s="16"/>
      <c r="G330" s="166"/>
      <c r="H330" s="69"/>
      <c r="I330" s="69"/>
      <c r="J330" s="69"/>
      <c r="K330" s="69"/>
      <c r="L330" s="68"/>
      <c r="M330" s="14"/>
      <c r="N330" s="15"/>
      <c r="O330" s="70"/>
      <c r="P330" s="71"/>
      <c r="Q330" s="71"/>
      <c r="R330" s="72"/>
      <c r="S330" s="73"/>
      <c r="T330" s="74"/>
    </row>
    <row r="331" spans="1:20" ht="16.5" x14ac:dyDescent="0.25">
      <c r="A331" s="174">
        <f>C_S_Digital[[#This Row],[ID_C]]</f>
        <v>326</v>
      </c>
      <c r="B331" s="139">
        <f>C_S_Digital[[#This Row],[Proceso]]</f>
        <v>0</v>
      </c>
      <c r="C331" s="140" t="e">
        <f>C_S_Digital[[#This Row],[Código riesgo]]</f>
        <v>#VALUE!</v>
      </c>
      <c r="D331" s="175" t="str">
        <f>C_S_Digital[[#This Row],[Código control]]</f>
        <v/>
      </c>
      <c r="E331" s="164"/>
      <c r="F331" s="24"/>
      <c r="G331" s="164"/>
      <c r="H331" s="55"/>
      <c r="I331" s="55"/>
      <c r="J331" s="55"/>
      <c r="K331" s="55"/>
      <c r="L331" s="54"/>
      <c r="M331" s="22"/>
      <c r="N331" s="23"/>
      <c r="O331" s="56"/>
      <c r="P331" s="57"/>
      <c r="Q331" s="57"/>
      <c r="R331" s="58"/>
      <c r="S331" s="59"/>
      <c r="T331" s="60"/>
    </row>
    <row r="332" spans="1:20" ht="16.5" x14ac:dyDescent="0.25">
      <c r="A332" s="174">
        <f>C_S_Digital[[#This Row],[ID_C]]</f>
        <v>327</v>
      </c>
      <c r="B332" s="139">
        <f>C_S_Digital[[#This Row],[Proceso]]</f>
        <v>0</v>
      </c>
      <c r="C332" s="140" t="e">
        <f>C_S_Digital[[#This Row],[Código riesgo]]</f>
        <v>#VALUE!</v>
      </c>
      <c r="D332" s="175" t="str">
        <f>C_S_Digital[[#This Row],[Código control]]</f>
        <v/>
      </c>
      <c r="E332" s="164"/>
      <c r="F332" s="24"/>
      <c r="G332" s="164"/>
      <c r="H332" s="55"/>
      <c r="I332" s="55"/>
      <c r="J332" s="55"/>
      <c r="K332" s="55"/>
      <c r="L332" s="54"/>
      <c r="M332" s="22"/>
      <c r="N332" s="23"/>
      <c r="O332" s="56"/>
      <c r="P332" s="57"/>
      <c r="Q332" s="57"/>
      <c r="R332" s="58"/>
      <c r="S332" s="59"/>
      <c r="T332" s="60"/>
    </row>
    <row r="333" spans="1:20" ht="16.5" x14ac:dyDescent="0.25">
      <c r="A333" s="174">
        <f>C_S_Digital[[#This Row],[ID_C]]</f>
        <v>328</v>
      </c>
      <c r="B333" s="139">
        <f>C_S_Digital[[#This Row],[Proceso]]</f>
        <v>0</v>
      </c>
      <c r="C333" s="140" t="e">
        <f>C_S_Digital[[#This Row],[Código riesgo]]</f>
        <v>#VALUE!</v>
      </c>
      <c r="D333" s="175" t="str">
        <f>C_S_Digital[[#This Row],[Código control]]</f>
        <v/>
      </c>
      <c r="E333" s="164"/>
      <c r="F333" s="24"/>
      <c r="G333" s="164"/>
      <c r="H333" s="55"/>
      <c r="I333" s="55"/>
      <c r="J333" s="55"/>
      <c r="K333" s="55"/>
      <c r="L333" s="54"/>
      <c r="M333" s="22"/>
      <c r="N333" s="23"/>
      <c r="O333" s="56"/>
      <c r="P333" s="57"/>
      <c r="Q333" s="57"/>
      <c r="R333" s="58"/>
      <c r="S333" s="59"/>
      <c r="T333" s="60"/>
    </row>
    <row r="334" spans="1:20" ht="16.5" x14ac:dyDescent="0.25">
      <c r="A334" s="174">
        <f>C_S_Digital[[#This Row],[ID_C]]</f>
        <v>329</v>
      </c>
      <c r="B334" s="139">
        <f>C_S_Digital[[#This Row],[Proceso]]</f>
        <v>0</v>
      </c>
      <c r="C334" s="140" t="e">
        <f>C_S_Digital[[#This Row],[Código riesgo]]</f>
        <v>#VALUE!</v>
      </c>
      <c r="D334" s="175" t="str">
        <f>C_S_Digital[[#This Row],[Código control]]</f>
        <v/>
      </c>
      <c r="E334" s="164"/>
      <c r="F334" s="24"/>
      <c r="G334" s="164"/>
      <c r="H334" s="55"/>
      <c r="I334" s="55"/>
      <c r="J334" s="55"/>
      <c r="K334" s="55"/>
      <c r="L334" s="54"/>
      <c r="M334" s="22"/>
      <c r="N334" s="23"/>
      <c r="O334" s="56"/>
      <c r="P334" s="57"/>
      <c r="Q334" s="57"/>
      <c r="R334" s="58"/>
      <c r="S334" s="59"/>
      <c r="T334" s="60"/>
    </row>
    <row r="335" spans="1:20" ht="17.25" thickBot="1" x14ac:dyDescent="0.3">
      <c r="A335" s="176">
        <f>C_S_Digital[[#This Row],[ID_C]]</f>
        <v>330</v>
      </c>
      <c r="B335" s="177">
        <f>C_S_Digital[[#This Row],[Proceso]]</f>
        <v>0</v>
      </c>
      <c r="C335" s="178" t="e">
        <f>C_S_Digital[[#This Row],[Código riesgo]]</f>
        <v>#VALUE!</v>
      </c>
      <c r="D335" s="179" t="str">
        <f>C_S_Digital[[#This Row],[Código control]]</f>
        <v/>
      </c>
      <c r="E335" s="165"/>
      <c r="F335" s="33"/>
      <c r="G335" s="165"/>
      <c r="H335" s="62"/>
      <c r="I335" s="62"/>
      <c r="J335" s="62"/>
      <c r="K335" s="62"/>
      <c r="L335" s="61"/>
      <c r="M335" s="31"/>
      <c r="N335" s="32"/>
      <c r="O335" s="63"/>
      <c r="P335" s="64"/>
      <c r="Q335" s="64"/>
      <c r="R335" s="65"/>
      <c r="S335" s="66"/>
      <c r="T335" s="67"/>
    </row>
    <row r="336" spans="1:20" ht="16.5" x14ac:dyDescent="0.25">
      <c r="A336" s="170">
        <f>C_S_Digital[[#This Row],[ID_C]]</f>
        <v>331</v>
      </c>
      <c r="B336" s="171">
        <f>C_S_Digital[[#This Row],[Proceso]]</f>
        <v>0</v>
      </c>
      <c r="C336" s="172" t="e">
        <f>C_S_Digital[[#This Row],[Código riesgo]]</f>
        <v>#VALUE!</v>
      </c>
      <c r="D336" s="173" t="str">
        <f>C_S_Digital[[#This Row],[Código control]]</f>
        <v/>
      </c>
      <c r="E336" s="166"/>
      <c r="F336" s="16"/>
      <c r="G336" s="166"/>
      <c r="H336" s="69"/>
      <c r="I336" s="69"/>
      <c r="J336" s="69"/>
      <c r="K336" s="69"/>
      <c r="L336" s="68"/>
      <c r="M336" s="14"/>
      <c r="N336" s="15"/>
      <c r="O336" s="70"/>
      <c r="P336" s="71"/>
      <c r="Q336" s="71"/>
      <c r="R336" s="72"/>
      <c r="S336" s="73"/>
      <c r="T336" s="74"/>
    </row>
    <row r="337" spans="1:20" ht="16.5" x14ac:dyDescent="0.25">
      <c r="A337" s="174">
        <f>C_S_Digital[[#This Row],[ID_C]]</f>
        <v>332</v>
      </c>
      <c r="B337" s="139">
        <f>C_S_Digital[[#This Row],[Proceso]]</f>
        <v>0</v>
      </c>
      <c r="C337" s="140" t="e">
        <f>C_S_Digital[[#This Row],[Código riesgo]]</f>
        <v>#VALUE!</v>
      </c>
      <c r="D337" s="175" t="str">
        <f>C_S_Digital[[#This Row],[Código control]]</f>
        <v/>
      </c>
      <c r="E337" s="164"/>
      <c r="F337" s="24"/>
      <c r="G337" s="164"/>
      <c r="H337" s="55"/>
      <c r="I337" s="55"/>
      <c r="J337" s="55"/>
      <c r="K337" s="55"/>
      <c r="L337" s="54"/>
      <c r="M337" s="22"/>
      <c r="N337" s="23"/>
      <c r="O337" s="56"/>
      <c r="P337" s="57"/>
      <c r="Q337" s="57"/>
      <c r="R337" s="58"/>
      <c r="S337" s="59"/>
      <c r="T337" s="60"/>
    </row>
    <row r="338" spans="1:20" ht="16.5" x14ac:dyDescent="0.25">
      <c r="A338" s="174">
        <f>C_S_Digital[[#This Row],[ID_C]]</f>
        <v>333</v>
      </c>
      <c r="B338" s="139">
        <f>C_S_Digital[[#This Row],[Proceso]]</f>
        <v>0</v>
      </c>
      <c r="C338" s="140" t="e">
        <f>C_S_Digital[[#This Row],[Código riesgo]]</f>
        <v>#VALUE!</v>
      </c>
      <c r="D338" s="175" t="str">
        <f>C_S_Digital[[#This Row],[Código control]]</f>
        <v/>
      </c>
      <c r="E338" s="164"/>
      <c r="F338" s="24"/>
      <c r="G338" s="164"/>
      <c r="H338" s="55"/>
      <c r="I338" s="55"/>
      <c r="J338" s="55"/>
      <c r="K338" s="55"/>
      <c r="L338" s="54"/>
      <c r="M338" s="22"/>
      <c r="N338" s="23"/>
      <c r="O338" s="56"/>
      <c r="P338" s="57"/>
      <c r="Q338" s="57"/>
      <c r="R338" s="58"/>
      <c r="S338" s="59"/>
      <c r="T338" s="60"/>
    </row>
    <row r="339" spans="1:20" ht="16.5" x14ac:dyDescent="0.25">
      <c r="A339" s="174">
        <f>C_S_Digital[[#This Row],[ID_C]]</f>
        <v>334</v>
      </c>
      <c r="B339" s="139">
        <f>C_S_Digital[[#This Row],[Proceso]]</f>
        <v>0</v>
      </c>
      <c r="C339" s="140" t="e">
        <f>C_S_Digital[[#This Row],[Código riesgo]]</f>
        <v>#VALUE!</v>
      </c>
      <c r="D339" s="175" t="str">
        <f>C_S_Digital[[#This Row],[Código control]]</f>
        <v/>
      </c>
      <c r="E339" s="164"/>
      <c r="F339" s="24"/>
      <c r="G339" s="164"/>
      <c r="H339" s="55"/>
      <c r="I339" s="55"/>
      <c r="J339" s="55"/>
      <c r="K339" s="55"/>
      <c r="L339" s="54"/>
      <c r="M339" s="22"/>
      <c r="N339" s="23"/>
      <c r="O339" s="56"/>
      <c r="P339" s="57"/>
      <c r="Q339" s="57"/>
      <c r="R339" s="58"/>
      <c r="S339" s="59"/>
      <c r="T339" s="60"/>
    </row>
    <row r="340" spans="1:20" ht="16.5" x14ac:dyDescent="0.25">
      <c r="A340" s="174">
        <f>C_S_Digital[[#This Row],[ID_C]]</f>
        <v>335</v>
      </c>
      <c r="B340" s="139">
        <f>C_S_Digital[[#This Row],[Proceso]]</f>
        <v>0</v>
      </c>
      <c r="C340" s="140" t="e">
        <f>C_S_Digital[[#This Row],[Código riesgo]]</f>
        <v>#VALUE!</v>
      </c>
      <c r="D340" s="175" t="str">
        <f>C_S_Digital[[#This Row],[Código control]]</f>
        <v/>
      </c>
      <c r="E340" s="164"/>
      <c r="F340" s="24"/>
      <c r="G340" s="164"/>
      <c r="H340" s="55"/>
      <c r="I340" s="55"/>
      <c r="J340" s="55"/>
      <c r="K340" s="55"/>
      <c r="L340" s="54"/>
      <c r="M340" s="22"/>
      <c r="N340" s="23"/>
      <c r="O340" s="56"/>
      <c r="P340" s="57"/>
      <c r="Q340" s="57"/>
      <c r="R340" s="58"/>
      <c r="S340" s="59"/>
      <c r="T340" s="60"/>
    </row>
    <row r="341" spans="1:20" ht="17.25" thickBot="1" x14ac:dyDescent="0.3">
      <c r="A341" s="176">
        <f>C_S_Digital[[#This Row],[ID_C]]</f>
        <v>336</v>
      </c>
      <c r="B341" s="177">
        <f>C_S_Digital[[#This Row],[Proceso]]</f>
        <v>0</v>
      </c>
      <c r="C341" s="178" t="e">
        <f>C_S_Digital[[#This Row],[Código riesgo]]</f>
        <v>#VALUE!</v>
      </c>
      <c r="D341" s="179" t="str">
        <f>C_S_Digital[[#This Row],[Código control]]</f>
        <v/>
      </c>
      <c r="E341" s="165"/>
      <c r="F341" s="33"/>
      <c r="G341" s="165"/>
      <c r="H341" s="62"/>
      <c r="I341" s="62"/>
      <c r="J341" s="62"/>
      <c r="K341" s="62"/>
      <c r="L341" s="61"/>
      <c r="M341" s="31"/>
      <c r="N341" s="32"/>
      <c r="O341" s="63"/>
      <c r="P341" s="64"/>
      <c r="Q341" s="64"/>
      <c r="R341" s="65"/>
      <c r="S341" s="66"/>
      <c r="T341" s="67"/>
    </row>
    <row r="342" spans="1:20" ht="16.5" x14ac:dyDescent="0.25">
      <c r="A342" s="170">
        <f>C_S_Digital[[#This Row],[ID_C]]</f>
        <v>337</v>
      </c>
      <c r="B342" s="171">
        <f>C_S_Digital[[#This Row],[Proceso]]</f>
        <v>0</v>
      </c>
      <c r="C342" s="172" t="e">
        <f>C_S_Digital[[#This Row],[Código riesgo]]</f>
        <v>#VALUE!</v>
      </c>
      <c r="D342" s="173" t="str">
        <f>C_S_Digital[[#This Row],[Código control]]</f>
        <v/>
      </c>
      <c r="E342" s="166"/>
      <c r="F342" s="16"/>
      <c r="G342" s="166"/>
      <c r="H342" s="69"/>
      <c r="I342" s="69"/>
      <c r="J342" s="69"/>
      <c r="K342" s="69"/>
      <c r="L342" s="68"/>
      <c r="M342" s="14"/>
      <c r="N342" s="15"/>
      <c r="O342" s="70"/>
      <c r="P342" s="71"/>
      <c r="Q342" s="71"/>
      <c r="R342" s="72"/>
      <c r="S342" s="73"/>
      <c r="T342" s="74"/>
    </row>
    <row r="343" spans="1:20" ht="16.5" x14ac:dyDescent="0.25">
      <c r="A343" s="174">
        <f>C_S_Digital[[#This Row],[ID_C]]</f>
        <v>338</v>
      </c>
      <c r="B343" s="139">
        <f>C_S_Digital[[#This Row],[Proceso]]</f>
        <v>0</v>
      </c>
      <c r="C343" s="140" t="e">
        <f>C_S_Digital[[#This Row],[Código riesgo]]</f>
        <v>#VALUE!</v>
      </c>
      <c r="D343" s="175" t="str">
        <f>C_S_Digital[[#This Row],[Código control]]</f>
        <v/>
      </c>
      <c r="E343" s="164"/>
      <c r="F343" s="24"/>
      <c r="G343" s="164"/>
      <c r="H343" s="55"/>
      <c r="I343" s="55"/>
      <c r="J343" s="55"/>
      <c r="K343" s="55"/>
      <c r="L343" s="54"/>
      <c r="M343" s="22"/>
      <c r="N343" s="23"/>
      <c r="O343" s="56"/>
      <c r="P343" s="57"/>
      <c r="Q343" s="57"/>
      <c r="R343" s="58"/>
      <c r="S343" s="59"/>
      <c r="T343" s="60"/>
    </row>
    <row r="344" spans="1:20" ht="16.5" x14ac:dyDescent="0.25">
      <c r="A344" s="174">
        <f>C_S_Digital[[#This Row],[ID_C]]</f>
        <v>339</v>
      </c>
      <c r="B344" s="139">
        <f>C_S_Digital[[#This Row],[Proceso]]</f>
        <v>0</v>
      </c>
      <c r="C344" s="140" t="e">
        <f>C_S_Digital[[#This Row],[Código riesgo]]</f>
        <v>#VALUE!</v>
      </c>
      <c r="D344" s="175" t="str">
        <f>C_S_Digital[[#This Row],[Código control]]</f>
        <v/>
      </c>
      <c r="E344" s="164"/>
      <c r="F344" s="24"/>
      <c r="G344" s="164"/>
      <c r="H344" s="55"/>
      <c r="I344" s="55"/>
      <c r="J344" s="55"/>
      <c r="K344" s="55"/>
      <c r="L344" s="54"/>
      <c r="M344" s="22"/>
      <c r="N344" s="23"/>
      <c r="O344" s="56"/>
      <c r="P344" s="57"/>
      <c r="Q344" s="57"/>
      <c r="R344" s="58"/>
      <c r="S344" s="59"/>
      <c r="T344" s="60"/>
    </row>
    <row r="345" spans="1:20" ht="16.5" x14ac:dyDescent="0.25">
      <c r="A345" s="174">
        <f>C_S_Digital[[#This Row],[ID_C]]</f>
        <v>340</v>
      </c>
      <c r="B345" s="139">
        <f>C_S_Digital[[#This Row],[Proceso]]</f>
        <v>0</v>
      </c>
      <c r="C345" s="140" t="e">
        <f>C_S_Digital[[#This Row],[Código riesgo]]</f>
        <v>#VALUE!</v>
      </c>
      <c r="D345" s="175" t="str">
        <f>C_S_Digital[[#This Row],[Código control]]</f>
        <v/>
      </c>
      <c r="E345" s="164"/>
      <c r="F345" s="24"/>
      <c r="G345" s="164"/>
      <c r="H345" s="55"/>
      <c r="I345" s="55"/>
      <c r="J345" s="55"/>
      <c r="K345" s="55"/>
      <c r="L345" s="54"/>
      <c r="M345" s="22"/>
      <c r="N345" s="23"/>
      <c r="O345" s="56"/>
      <c r="P345" s="57"/>
      <c r="Q345" s="57"/>
      <c r="R345" s="58"/>
      <c r="S345" s="59"/>
      <c r="T345" s="60"/>
    </row>
    <row r="346" spans="1:20" ht="16.5" x14ac:dyDescent="0.25">
      <c r="A346" s="174">
        <f>C_S_Digital[[#This Row],[ID_C]]</f>
        <v>341</v>
      </c>
      <c r="B346" s="139">
        <f>C_S_Digital[[#This Row],[Proceso]]</f>
        <v>0</v>
      </c>
      <c r="C346" s="140" t="e">
        <f>C_S_Digital[[#This Row],[Código riesgo]]</f>
        <v>#VALUE!</v>
      </c>
      <c r="D346" s="175" t="str">
        <f>C_S_Digital[[#This Row],[Código control]]</f>
        <v/>
      </c>
      <c r="E346" s="164"/>
      <c r="F346" s="24"/>
      <c r="G346" s="164"/>
      <c r="H346" s="55"/>
      <c r="I346" s="55"/>
      <c r="J346" s="55"/>
      <c r="K346" s="55"/>
      <c r="L346" s="54"/>
      <c r="M346" s="22"/>
      <c r="N346" s="23"/>
      <c r="O346" s="56"/>
      <c r="P346" s="57"/>
      <c r="Q346" s="57"/>
      <c r="R346" s="58"/>
      <c r="S346" s="59"/>
      <c r="T346" s="60"/>
    </row>
    <row r="347" spans="1:20" ht="17.25" thickBot="1" x14ac:dyDescent="0.3">
      <c r="A347" s="176">
        <f>C_S_Digital[[#This Row],[ID_C]]</f>
        <v>342</v>
      </c>
      <c r="B347" s="177">
        <f>C_S_Digital[[#This Row],[Proceso]]</f>
        <v>0</v>
      </c>
      <c r="C347" s="178" t="e">
        <f>C_S_Digital[[#This Row],[Código riesgo]]</f>
        <v>#VALUE!</v>
      </c>
      <c r="D347" s="179" t="str">
        <f>C_S_Digital[[#This Row],[Código control]]</f>
        <v/>
      </c>
      <c r="E347" s="165"/>
      <c r="F347" s="33"/>
      <c r="G347" s="165"/>
      <c r="H347" s="62"/>
      <c r="I347" s="62"/>
      <c r="J347" s="62"/>
      <c r="K347" s="62"/>
      <c r="L347" s="61"/>
      <c r="M347" s="31"/>
      <c r="N347" s="32"/>
      <c r="O347" s="63"/>
      <c r="P347" s="64"/>
      <c r="Q347" s="64"/>
      <c r="R347" s="65"/>
      <c r="S347" s="66"/>
      <c r="T347" s="67"/>
    </row>
    <row r="348" spans="1:20" ht="16.5" x14ac:dyDescent="0.25">
      <c r="A348" s="170">
        <f>C_S_Digital[[#This Row],[ID_C]]</f>
        <v>343</v>
      </c>
      <c r="B348" s="171">
        <f>C_S_Digital[[#This Row],[Proceso]]</f>
        <v>0</v>
      </c>
      <c r="C348" s="172" t="e">
        <f>C_S_Digital[[#This Row],[Código riesgo]]</f>
        <v>#VALUE!</v>
      </c>
      <c r="D348" s="173" t="str">
        <f>C_S_Digital[[#This Row],[Código control]]</f>
        <v/>
      </c>
      <c r="E348" s="166"/>
      <c r="F348" s="16"/>
      <c r="G348" s="166"/>
      <c r="H348" s="69"/>
      <c r="I348" s="69"/>
      <c r="J348" s="69"/>
      <c r="K348" s="69"/>
      <c r="L348" s="68"/>
      <c r="M348" s="14"/>
      <c r="N348" s="15"/>
      <c r="O348" s="70"/>
      <c r="P348" s="71"/>
      <c r="Q348" s="71"/>
      <c r="R348" s="72"/>
      <c r="S348" s="73"/>
      <c r="T348" s="74"/>
    </row>
    <row r="349" spans="1:20" ht="16.5" x14ac:dyDescent="0.25">
      <c r="A349" s="174">
        <f>C_S_Digital[[#This Row],[ID_C]]</f>
        <v>344</v>
      </c>
      <c r="B349" s="139">
        <f>C_S_Digital[[#This Row],[Proceso]]</f>
        <v>0</v>
      </c>
      <c r="C349" s="140" t="e">
        <f>C_S_Digital[[#This Row],[Código riesgo]]</f>
        <v>#VALUE!</v>
      </c>
      <c r="D349" s="175" t="str">
        <f>C_S_Digital[[#This Row],[Código control]]</f>
        <v/>
      </c>
      <c r="E349" s="164"/>
      <c r="F349" s="24"/>
      <c r="G349" s="164"/>
      <c r="H349" s="55"/>
      <c r="I349" s="55"/>
      <c r="J349" s="55"/>
      <c r="K349" s="55"/>
      <c r="L349" s="54"/>
      <c r="M349" s="22"/>
      <c r="N349" s="23"/>
      <c r="O349" s="56"/>
      <c r="P349" s="57"/>
      <c r="Q349" s="57"/>
      <c r="R349" s="58"/>
      <c r="S349" s="59"/>
      <c r="T349" s="60"/>
    </row>
    <row r="350" spans="1:20" ht="16.5" x14ac:dyDescent="0.25">
      <c r="A350" s="174">
        <f>C_S_Digital[[#This Row],[ID_C]]</f>
        <v>345</v>
      </c>
      <c r="B350" s="139">
        <f>C_S_Digital[[#This Row],[Proceso]]</f>
        <v>0</v>
      </c>
      <c r="C350" s="140" t="e">
        <f>C_S_Digital[[#This Row],[Código riesgo]]</f>
        <v>#VALUE!</v>
      </c>
      <c r="D350" s="175" t="str">
        <f>C_S_Digital[[#This Row],[Código control]]</f>
        <v/>
      </c>
      <c r="E350" s="164"/>
      <c r="F350" s="24"/>
      <c r="G350" s="164"/>
      <c r="H350" s="55"/>
      <c r="I350" s="55"/>
      <c r="J350" s="55"/>
      <c r="K350" s="55"/>
      <c r="L350" s="54"/>
      <c r="M350" s="22"/>
      <c r="N350" s="23"/>
      <c r="O350" s="56"/>
      <c r="P350" s="57"/>
      <c r="Q350" s="57"/>
      <c r="R350" s="58"/>
      <c r="S350" s="59"/>
      <c r="T350" s="60"/>
    </row>
    <row r="351" spans="1:20" ht="16.5" x14ac:dyDescent="0.25">
      <c r="A351" s="174">
        <f>C_S_Digital[[#This Row],[ID_C]]</f>
        <v>346</v>
      </c>
      <c r="B351" s="139">
        <f>C_S_Digital[[#This Row],[Proceso]]</f>
        <v>0</v>
      </c>
      <c r="C351" s="140" t="e">
        <f>C_S_Digital[[#This Row],[Código riesgo]]</f>
        <v>#VALUE!</v>
      </c>
      <c r="D351" s="175" t="str">
        <f>C_S_Digital[[#This Row],[Código control]]</f>
        <v/>
      </c>
      <c r="E351" s="164"/>
      <c r="F351" s="24"/>
      <c r="G351" s="164"/>
      <c r="H351" s="55"/>
      <c r="I351" s="55"/>
      <c r="J351" s="55"/>
      <c r="K351" s="55"/>
      <c r="L351" s="54"/>
      <c r="M351" s="22"/>
      <c r="N351" s="23"/>
      <c r="O351" s="56"/>
      <c r="P351" s="57"/>
      <c r="Q351" s="57"/>
      <c r="R351" s="58"/>
      <c r="S351" s="59"/>
      <c r="T351" s="60"/>
    </row>
    <row r="352" spans="1:20" ht="16.5" x14ac:dyDescent="0.25">
      <c r="A352" s="174">
        <f>C_S_Digital[[#This Row],[ID_C]]</f>
        <v>347</v>
      </c>
      <c r="B352" s="139">
        <f>C_S_Digital[[#This Row],[Proceso]]</f>
        <v>0</v>
      </c>
      <c r="C352" s="140" t="e">
        <f>C_S_Digital[[#This Row],[Código riesgo]]</f>
        <v>#VALUE!</v>
      </c>
      <c r="D352" s="175" t="str">
        <f>C_S_Digital[[#This Row],[Código control]]</f>
        <v/>
      </c>
      <c r="E352" s="164"/>
      <c r="F352" s="24"/>
      <c r="G352" s="164"/>
      <c r="H352" s="55"/>
      <c r="I352" s="55"/>
      <c r="J352" s="55"/>
      <c r="K352" s="55"/>
      <c r="L352" s="54"/>
      <c r="M352" s="22"/>
      <c r="N352" s="23"/>
      <c r="O352" s="56"/>
      <c r="P352" s="57"/>
      <c r="Q352" s="57"/>
      <c r="R352" s="58"/>
      <c r="S352" s="59"/>
      <c r="T352" s="60"/>
    </row>
    <row r="353" spans="1:20" ht="17.25" thickBot="1" x14ac:dyDescent="0.3">
      <c r="A353" s="176">
        <f>C_S_Digital[[#This Row],[ID_C]]</f>
        <v>348</v>
      </c>
      <c r="B353" s="177">
        <f>C_S_Digital[[#This Row],[Proceso]]</f>
        <v>0</v>
      </c>
      <c r="C353" s="178" t="e">
        <f>C_S_Digital[[#This Row],[Código riesgo]]</f>
        <v>#VALUE!</v>
      </c>
      <c r="D353" s="179" t="str">
        <f>C_S_Digital[[#This Row],[Código control]]</f>
        <v/>
      </c>
      <c r="E353" s="165"/>
      <c r="F353" s="33"/>
      <c r="G353" s="165"/>
      <c r="H353" s="62"/>
      <c r="I353" s="62"/>
      <c r="J353" s="62"/>
      <c r="K353" s="62"/>
      <c r="L353" s="61"/>
      <c r="M353" s="31"/>
      <c r="N353" s="32"/>
      <c r="O353" s="63"/>
      <c r="P353" s="64"/>
      <c r="Q353" s="64"/>
      <c r="R353" s="65"/>
      <c r="S353" s="66"/>
      <c r="T353" s="67"/>
    </row>
  </sheetData>
  <autoFilter ref="A5:T353" xr:uid="{0A466F8A-31D8-4F8A-B317-1E4D9651C168}"/>
  <mergeCells count="10">
    <mergeCell ref="A2:C2"/>
    <mergeCell ref="O3:T3"/>
    <mergeCell ref="Q4:S4"/>
    <mergeCell ref="I4:K4"/>
    <mergeCell ref="L4:N4"/>
    <mergeCell ref="E3:N3"/>
    <mergeCell ref="E4:H4"/>
    <mergeCell ref="O4:P4"/>
    <mergeCell ref="E1:N2"/>
    <mergeCell ref="O1:T2"/>
  </mergeCells>
  <dataValidations count="4">
    <dataValidation allowBlank="1" showInputMessage="1" showErrorMessage="1" promptTitle="Código Riesgo" prompt="Es un valor alfanúmerico que asigna el administrador del SIG para el control de cambios de los riesgos, debe ser único." sqref="C5" xr:uid="{0A0EE5FD-8E29-4E87-ACAA-60F7EECC2A07}"/>
    <dataValidation allowBlank="1" showInputMessage="1" showErrorMessage="1" error="Recuerde que las acciones se generan bajo la medida de mitigar el riesgo" sqref="I14:J53 I6:J12 K52:K59 E71:E90 I55:J59 L56:L90 I62:K90 G93:L353 K6:K50 N6:N353 L6:L53 G71:H90 G6:H69 E6:E69 E93:E353" xr:uid="{BF6B3B02-2DE0-47A3-B7C2-31385DE6C051}"/>
    <dataValidation type="list" allowBlank="1" showInputMessage="1" showErrorMessage="1" sqref="O6:S353" xr:uid="{CABAD6B5-935F-48F6-AA52-8A65037C54BD}">
      <formula1>"SI,Parcialmente,NO"</formula1>
    </dataValidation>
    <dataValidation allowBlank="1" showInputMessage="1" showErrorMessage="1" promptTitle="Proceso" prompt="Seleccione del listado desplegable el proceso correspondiente según el modelo de operación por procesos vigente" sqref="B5" xr:uid="{CF0341FF-9A91-4561-8F91-E18F8AC0C1F1}"/>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Recuerde que las acciones se generan bajo la medida de mitigar el riesgo" xr:uid="{37332880-A013-41E4-BB92-B7CE4FE6B952}">
          <x14:formula1>
            <xm:f>Condiciones_RSD!$L$68:$L$69</xm:f>
          </x14:formula1>
          <xm:sqref>F6:F353</xm:sqref>
        </x14:dataValidation>
        <x14:dataValidation type="list" allowBlank="1" showInputMessage="1" showErrorMessage="1" error="Recuerde que las acciones se generan bajo la medida de mitigar el riesgo" xr:uid="{3D85A179-C602-4FF7-8187-CCFD77EC8A22}">
          <x14:formula1>
            <xm:f>Condiciones_RSD!$L$72:$L$75</xm:f>
          </x14:formula1>
          <xm:sqref>M6:M353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D0534-7CED-429A-A175-A3E5A0B3072B}">
  <sheetPr>
    <tabColor rgb="FFC00000"/>
  </sheetPr>
  <dimension ref="A1:AE20"/>
  <sheetViews>
    <sheetView view="pageBreakPreview" topLeftCell="P1" zoomScale="70" zoomScaleNormal="55" zoomScaleSheetLayoutView="70" workbookViewId="0">
      <selection activeCell="T6" sqref="T6"/>
    </sheetView>
  </sheetViews>
  <sheetFormatPr baseColWidth="10" defaultColWidth="11.42578125" defaultRowHeight="15.75" x14ac:dyDescent="0.25"/>
  <cols>
    <col min="1" max="1" width="5.5703125" style="80" customWidth="1"/>
    <col min="2" max="2" width="9.5703125" style="80" customWidth="1"/>
    <col min="3" max="3" width="25" style="80" customWidth="1"/>
    <col min="4" max="4" width="16.5703125" style="80" customWidth="1"/>
    <col min="5" max="5" width="18.5703125" style="80" customWidth="1"/>
    <col min="6" max="6" width="20.140625" style="80" customWidth="1"/>
    <col min="7" max="7" width="21" style="80" customWidth="1"/>
    <col min="8" max="9" width="14.140625" style="80" customWidth="1"/>
    <col min="10" max="10" width="17.7109375" style="80" customWidth="1"/>
    <col min="11" max="11" width="30.7109375" style="80" customWidth="1"/>
    <col min="12" max="12" width="15.42578125" style="80" customWidth="1"/>
    <col min="13" max="13" width="14" style="80" customWidth="1"/>
    <col min="14" max="14" width="12.5703125" style="80" customWidth="1"/>
    <col min="15" max="15" width="15" style="80" customWidth="1"/>
    <col min="16" max="17" width="5.5703125" style="80" customWidth="1"/>
    <col min="18" max="18" width="15.7109375" style="80" customWidth="1"/>
    <col min="19" max="19" width="38.42578125" style="80" customWidth="1"/>
    <col min="20" max="20" width="29.85546875" style="80" customWidth="1"/>
    <col min="21" max="21" width="14.42578125" style="80" customWidth="1"/>
    <col min="22" max="22" width="12.140625" style="80" customWidth="1"/>
    <col min="23" max="23" width="12.28515625" style="80" customWidth="1"/>
    <col min="24" max="24" width="20.28515625" style="80" customWidth="1"/>
    <col min="25" max="25" width="17.140625" style="80" customWidth="1"/>
    <col min="26" max="26" width="15.28515625" style="80" customWidth="1"/>
    <col min="27" max="28" width="13.28515625" style="80" customWidth="1"/>
    <col min="29" max="29" width="11.140625" style="80" customWidth="1"/>
    <col min="30" max="30" width="13.28515625" style="80" customWidth="1"/>
    <col min="31" max="31" width="14.140625" style="80" customWidth="1"/>
    <col min="32" max="32" width="5.5703125" style="80" customWidth="1"/>
    <col min="33" max="16384" width="11.42578125" style="80"/>
  </cols>
  <sheetData>
    <row r="1" spans="1:31" ht="87.75" customHeight="1" x14ac:dyDescent="0.25">
      <c r="B1" s="308"/>
      <c r="C1" s="309"/>
      <c r="D1" s="317" t="s">
        <v>343</v>
      </c>
      <c r="E1" s="317"/>
      <c r="F1" s="317"/>
      <c r="G1" s="317"/>
      <c r="H1" s="317"/>
      <c r="I1" s="317"/>
      <c r="J1" s="317"/>
      <c r="K1" s="317"/>
      <c r="L1" s="317"/>
      <c r="M1" s="316" t="s">
        <v>344</v>
      </c>
      <c r="N1" s="316"/>
      <c r="O1" s="316"/>
      <c r="R1" s="308"/>
      <c r="S1" s="309"/>
      <c r="T1" s="310" t="s">
        <v>343</v>
      </c>
      <c r="U1" s="311"/>
      <c r="V1" s="311"/>
      <c r="W1" s="311"/>
      <c r="X1" s="311"/>
      <c r="Y1" s="311"/>
      <c r="Z1" s="311"/>
      <c r="AA1" s="311"/>
      <c r="AB1" s="312"/>
      <c r="AC1" s="313" t="s">
        <v>344</v>
      </c>
      <c r="AD1" s="314"/>
      <c r="AE1" s="315"/>
    </row>
    <row r="3" spans="1:31" ht="33.75" customHeight="1" x14ac:dyDescent="0.25">
      <c r="D3" s="285" t="s">
        <v>3</v>
      </c>
      <c r="E3" s="285"/>
      <c r="F3" s="285"/>
      <c r="G3" s="285"/>
      <c r="H3" s="285"/>
      <c r="I3" s="285"/>
      <c r="J3" s="285"/>
      <c r="K3" s="285"/>
      <c r="L3" s="285"/>
      <c r="M3" s="285"/>
      <c r="N3" s="285"/>
      <c r="O3" s="285"/>
      <c r="R3" s="288" t="s">
        <v>4</v>
      </c>
      <c r="S3" s="288"/>
      <c r="T3" s="288"/>
      <c r="U3" s="288"/>
      <c r="V3" s="288"/>
      <c r="W3" s="288"/>
      <c r="X3" s="341" t="s">
        <v>5</v>
      </c>
      <c r="Y3" s="342"/>
      <c r="Z3" s="287" t="s">
        <v>6</v>
      </c>
      <c r="AA3" s="287"/>
      <c r="AB3" s="287"/>
      <c r="AC3" s="287"/>
      <c r="AD3" s="287"/>
      <c r="AE3" s="287"/>
    </row>
    <row r="4" spans="1:31" ht="16.5" customHeight="1" x14ac:dyDescent="0.25">
      <c r="D4" s="284" t="s">
        <v>8</v>
      </c>
      <c r="E4" s="284"/>
      <c r="F4" s="284"/>
      <c r="G4" s="284"/>
      <c r="H4" s="284"/>
      <c r="I4" s="284"/>
      <c r="J4" s="284"/>
      <c r="K4" s="284"/>
      <c r="L4" s="284" t="s">
        <v>9</v>
      </c>
      <c r="M4" s="284"/>
      <c r="N4" s="284"/>
      <c r="O4" s="284"/>
      <c r="R4" s="332" t="s">
        <v>10</v>
      </c>
      <c r="S4" s="332"/>
      <c r="T4" s="332" t="s">
        <v>11</v>
      </c>
      <c r="U4" s="332"/>
      <c r="V4" s="332" t="s">
        <v>12</v>
      </c>
      <c r="W4" s="332"/>
      <c r="X4" s="333" t="s">
        <v>345</v>
      </c>
      <c r="Y4" s="334"/>
      <c r="Z4" s="286" t="s">
        <v>15</v>
      </c>
      <c r="AA4" s="286"/>
      <c r="AB4" s="286"/>
      <c r="AC4" s="286"/>
      <c r="AD4" s="286"/>
      <c r="AE4" s="286"/>
    </row>
    <row r="5" spans="1:31" ht="33" x14ac:dyDescent="0.25">
      <c r="B5" s="154" t="s">
        <v>17</v>
      </c>
      <c r="C5" s="153" t="s">
        <v>18</v>
      </c>
      <c r="D5" s="217" t="s">
        <v>20</v>
      </c>
      <c r="E5" s="153" t="s">
        <v>21</v>
      </c>
      <c r="F5" s="217" t="s">
        <v>22</v>
      </c>
      <c r="G5" s="153" t="s">
        <v>23</v>
      </c>
      <c r="H5" s="153" t="s">
        <v>346</v>
      </c>
      <c r="I5" s="153" t="s">
        <v>24</v>
      </c>
      <c r="J5" s="217" t="s">
        <v>25</v>
      </c>
      <c r="K5" s="154" t="s">
        <v>27</v>
      </c>
      <c r="L5" s="217" t="s">
        <v>28</v>
      </c>
      <c r="M5" s="217" t="s">
        <v>29</v>
      </c>
      <c r="N5" s="153" t="s">
        <v>30</v>
      </c>
      <c r="O5" s="153" t="s">
        <v>31</v>
      </c>
      <c r="R5" s="208" t="s">
        <v>32</v>
      </c>
      <c r="S5" s="208" t="s">
        <v>347</v>
      </c>
      <c r="T5" s="208" t="s">
        <v>33</v>
      </c>
      <c r="U5" s="208" t="s">
        <v>348</v>
      </c>
      <c r="V5" s="208" t="s">
        <v>34</v>
      </c>
      <c r="W5" s="208" t="s">
        <v>349</v>
      </c>
      <c r="X5" s="208" t="s">
        <v>350</v>
      </c>
      <c r="Y5" s="208" t="s">
        <v>351</v>
      </c>
      <c r="Z5" s="208" t="s">
        <v>39</v>
      </c>
      <c r="AA5" s="208" t="s">
        <v>352</v>
      </c>
      <c r="AB5" s="208" t="s">
        <v>40</v>
      </c>
      <c r="AC5" s="208" t="s">
        <v>353</v>
      </c>
      <c r="AD5" s="208" t="s">
        <v>41</v>
      </c>
      <c r="AE5" s="208" t="s">
        <v>354</v>
      </c>
    </row>
    <row r="6" spans="1:31" ht="168" customHeight="1" x14ac:dyDescent="0.25">
      <c r="B6" s="81" t="str">
        <f>_xlfn.XLOOKUP(D6,R_S_Digital[Código Riesgo],R_S_Digital[ID_R],"",0)</f>
        <v/>
      </c>
      <c r="C6" s="81" t="str">
        <f>_xlfn.XLOOKUP(D6,R_S_Digital[Código Riesgo],R_S_Digital[Proceso],"",0)</f>
        <v/>
      </c>
      <c r="D6" s="209" t="s">
        <v>355</v>
      </c>
      <c r="E6" s="81" t="str">
        <f>_xlfn.XLOOKUP(D6,R_S_Digital[Código Riesgo],R_S_Digital[Tipo activo de información],"",0)</f>
        <v/>
      </c>
      <c r="F6" s="81" t="str">
        <f>_xlfn.XLOOKUP(D6,R_S_Digital[Código Riesgo],R_S_Digital[Nombre activo de información],"",0)</f>
        <v/>
      </c>
      <c r="G6" s="81" t="str">
        <f>_xlfn.XLOOKUP(D6,R_S_Digital[Código Riesgo],R_S_Digital[Factor de riesgo],"",0)</f>
        <v/>
      </c>
      <c r="H6" s="81" t="e">
        <f>_xlfn.XLOOKUP(D6,R_S_Digital[Código Riesgo],#REF!,"",0)</f>
        <v>#REF!</v>
      </c>
      <c r="I6" s="81" t="str">
        <f>_xlfn.XLOOKUP(D6,R_S_Digital[Código Riesgo],R_S_Digital[Riesgo seguridad],"",0)</f>
        <v/>
      </c>
      <c r="J6" s="81" t="str">
        <f>_xlfn.XLOOKUP(D6,R_S_Digital[Código Riesgo],R_S_Digital[Amenaza],"",0)</f>
        <v/>
      </c>
      <c r="K6" s="81" t="str">
        <f>_xlfn.XLOOKUP(D6,R_S_Digital[Código Riesgo],R_S_Digital[Descripción del riesgo],"",0)</f>
        <v/>
      </c>
      <c r="L6" s="81" t="str">
        <f>_xlfn.XLOOKUP(D6,R_S_Digital[Código Riesgo],R_S_Digital[Frecuencia],"",0)</f>
        <v/>
      </c>
      <c r="M6" s="210" t="str">
        <f>_xlfn.XLOOKUP(D6,R_S_Digital[Código Riesgo],R_S_Digital[Unidad de medida],"",0)</f>
        <v/>
      </c>
      <c r="N6" s="210" t="str">
        <f>_xlfn.XLOOKUP(D6,R_S_Digital[Código Riesgo],R_S_Digital[Afectación],"",0)</f>
        <v/>
      </c>
      <c r="O6" s="210" t="str">
        <f>_xlfn.XLOOKUP(D6,R_S_Digital[Código Riesgo],R_S_Digital[Impacto],"",0)</f>
        <v/>
      </c>
      <c r="R6" s="81" t="str">
        <f>_xlfn.XLOOKUP(D6,R_S_Digital[Código Riesgo],R_S_Digital[Probabilidad inherente],"",0)</f>
        <v/>
      </c>
      <c r="S6" s="211" t="e">
        <f>_xlfn.XLOOKUP(D6,R_S_Digital[Código Riesgo],#REF!,"",0)</f>
        <v>#REF!</v>
      </c>
      <c r="T6" s="81" t="str">
        <f>_xlfn.XLOOKUP(D6,R_S_Digital[Código Riesgo],R_S_Digital[Impacto inherente],"",0)</f>
        <v/>
      </c>
      <c r="U6" s="211" t="e">
        <f>_xlfn.XLOOKUP(D6,R_S_Digital[Código Riesgo],#REF!,"",0)</f>
        <v>#REF!</v>
      </c>
      <c r="V6" s="81" t="str">
        <f>_xlfn.XLOOKUP(D6,R_S_Digital[Código Riesgo],R_S_Digital[Severidad inherente],"",0)</f>
        <v/>
      </c>
      <c r="W6" s="81" t="e">
        <f>_xlfn.XLOOKUP(D6,R_S_Digital[Código Riesgo],#REF!,"",0)</f>
        <v>#REF!</v>
      </c>
      <c r="X6" s="212" t="str">
        <f>_xlfn.XLOOKUP(D6,R_S_Digital[Código Riesgo],R_S_Digital[Responsable de ejecutar],"",0)</f>
        <v/>
      </c>
      <c r="Y6" s="212" t="str">
        <f>_xlfn.XLOOKUP(D6,R_S_Digital[Código Riesgo],R_S_Digital[Acción de control],"",0)</f>
        <v/>
      </c>
      <c r="Z6" s="81" t="str">
        <f>_xlfn.XLOOKUP(D6,R_S_Digital[Código Riesgo],R_S_Digital[Probabilidad residual],"",0)</f>
        <v/>
      </c>
      <c r="AA6" s="211" t="e">
        <f>_xlfn.XLOOKUP(D6,R_S_Digital[Código Riesgo],#REF!,"",0)</f>
        <v>#REF!</v>
      </c>
      <c r="AB6" s="81" t="str">
        <f>_xlfn.XLOOKUP(D6,R_S_Digital[Código Riesgo],R_S_Digital[Impacto residual],"",0)</f>
        <v/>
      </c>
      <c r="AC6" s="211" t="e">
        <f>_xlfn.XLOOKUP(D6,R_S_Digital[Código Riesgo],#REF!,"",0)</f>
        <v>#REF!</v>
      </c>
      <c r="AD6" s="81" t="str">
        <f>_xlfn.XLOOKUP(D6,R_S_Digital[Código Riesgo],R_S_Digital[Severidad residual],"",0)</f>
        <v/>
      </c>
      <c r="AE6" s="81" t="e">
        <f>_xlfn.XLOOKUP(D6,R_S_Digital[Código Riesgo],#REF!,"",0)</f>
        <v>#REF!</v>
      </c>
    </row>
    <row r="8" spans="1:31" ht="24.75" customHeight="1" x14ac:dyDescent="0.25">
      <c r="A8" s="3"/>
      <c r="B8" s="319" t="s">
        <v>3</v>
      </c>
      <c r="C8" s="320"/>
      <c r="D8" s="321" t="s">
        <v>5</v>
      </c>
      <c r="E8" s="322"/>
      <c r="F8" s="322"/>
      <c r="G8" s="322"/>
      <c r="H8" s="322"/>
      <c r="I8" s="322"/>
      <c r="J8" s="322"/>
      <c r="K8" s="322"/>
      <c r="L8" s="323"/>
      <c r="R8" s="293" t="s">
        <v>7</v>
      </c>
      <c r="S8" s="293"/>
      <c r="T8" s="293"/>
      <c r="U8" s="293"/>
      <c r="V8" s="293"/>
      <c r="W8" s="324" t="s">
        <v>6</v>
      </c>
      <c r="X8" s="325"/>
      <c r="Y8" s="325"/>
      <c r="Z8" s="326"/>
    </row>
    <row r="9" spans="1:31" ht="20.25" customHeight="1" thickBot="1" x14ac:dyDescent="0.3">
      <c r="A9" s="3"/>
      <c r="B9" s="327" t="s">
        <v>356</v>
      </c>
      <c r="C9" s="328"/>
      <c r="D9" s="329" t="s">
        <v>13</v>
      </c>
      <c r="E9" s="330"/>
      <c r="F9" s="330"/>
      <c r="G9" s="331"/>
      <c r="H9" s="329" t="s">
        <v>14</v>
      </c>
      <c r="I9" s="331"/>
      <c r="J9" s="329" t="s">
        <v>357</v>
      </c>
      <c r="K9" s="330"/>
      <c r="L9" s="331"/>
      <c r="R9" s="294" t="s">
        <v>16</v>
      </c>
      <c r="S9" s="294"/>
      <c r="T9" s="294"/>
      <c r="U9" s="294"/>
      <c r="V9" s="294"/>
      <c r="W9" s="335" t="s">
        <v>358</v>
      </c>
      <c r="X9" s="336"/>
      <c r="Y9" s="336"/>
      <c r="Z9" s="337"/>
    </row>
    <row r="10" spans="1:31" ht="33.75" thickBot="1" x14ac:dyDescent="0.3">
      <c r="B10" s="154" t="s">
        <v>325</v>
      </c>
      <c r="C10" s="218" t="s">
        <v>26</v>
      </c>
      <c r="D10" s="208" t="s">
        <v>327</v>
      </c>
      <c r="E10" s="207" t="s">
        <v>35</v>
      </c>
      <c r="F10" s="207" t="s">
        <v>36</v>
      </c>
      <c r="G10" s="207" t="s">
        <v>359</v>
      </c>
      <c r="H10" s="153" t="s">
        <v>37</v>
      </c>
      <c r="I10" s="153" t="s">
        <v>38</v>
      </c>
      <c r="J10" s="207" t="s">
        <v>360</v>
      </c>
      <c r="K10" s="153" t="s">
        <v>28</v>
      </c>
      <c r="L10" s="207" t="s">
        <v>361</v>
      </c>
      <c r="R10" s="153" t="s">
        <v>42</v>
      </c>
      <c r="S10" s="207" t="s">
        <v>362</v>
      </c>
      <c r="T10" s="207" t="s">
        <v>44</v>
      </c>
      <c r="U10" s="207" t="s">
        <v>45</v>
      </c>
      <c r="V10" s="207" t="s">
        <v>46</v>
      </c>
      <c r="W10" s="208" t="s">
        <v>363</v>
      </c>
      <c r="X10" s="208" t="s">
        <v>364</v>
      </c>
      <c r="Y10" s="208" t="s">
        <v>365</v>
      </c>
      <c r="Z10" s="208" t="s">
        <v>366</v>
      </c>
    </row>
    <row r="11" spans="1:31" x14ac:dyDescent="0.25">
      <c r="B11" s="213" t="str">
        <f>_xlfn.XLOOKUP(C6,C_S_Digital[Proceso],C_S_Digital[ID_C],"",0)</f>
        <v/>
      </c>
      <c r="C11" s="81" t="str">
        <f>_xlfn.XLOOKUP(B11,C_S_Digital[ID_C],C_S_Digital[Vulnerabilidades (Causas)],"",0)</f>
        <v/>
      </c>
      <c r="D11" s="81" t="str">
        <f>_xlfn.XLOOKUP(B11,C_S_Digital[ID_C],C_S_Digital[Código control],"",0)</f>
        <v/>
      </c>
      <c r="E11" s="81" t="str">
        <f>_xlfn.XLOOKUP(B11,C_S_Digital[ID_C],C_S_Digital[Responsable de ejecutar],"",0)</f>
        <v/>
      </c>
      <c r="F11" s="81" t="str">
        <f>_xlfn.XLOOKUP(B11,C_S_Digital[ID_C],C_S_Digital[Acción de control],"",0)</f>
        <v/>
      </c>
      <c r="G11" s="81" t="str">
        <f>_xlfn.XLOOKUP(B11,C_S_Digital[ID_C],C_S_Digital[Complemento],"",0)</f>
        <v/>
      </c>
      <c r="H11" s="219" t="str">
        <f>_xlfn.XLOOKUP(B11,C_S_Digital[ID_C],C_S_Digital[Momento de ejecución],"",0)</f>
        <v/>
      </c>
      <c r="I11" s="81" t="str">
        <f>_xlfn.XLOOKUP(B11,C_S_Digital[ID_C],C_S_Digital[Forma de ejecución],"",0)</f>
        <v/>
      </c>
      <c r="J11" s="81" t="str">
        <f>_xlfn.XLOOKUP(B11,C_S_Digital[ID_C],C_S_Digital[Documentación],"",0)</f>
        <v/>
      </c>
      <c r="K11" s="81" t="str">
        <f>_xlfn.XLOOKUP(B11,C_S_Digital[ID_C],C_S_Digital[Frecuencia],"",0)</f>
        <v/>
      </c>
      <c r="L11" s="81" t="str">
        <f>_xlfn.XLOOKUP(B11,C_S_Digital[ID_C],C_S_Digital[Evidencia],"",0)</f>
        <v/>
      </c>
      <c r="R11" s="213" t="str">
        <f>_xlfn.XLOOKUP(B11,C_S_Digital[ID_C],C_S_Digital[Tratamiento],"",0)</f>
        <v/>
      </c>
      <c r="S11" s="214" t="str">
        <f>_xlfn.XLOOKUP(B11,C_S_Digital[ID_C],C_S_Digital[Actividad fortalecimiento],"",0)</f>
        <v/>
      </c>
      <c r="T11" s="213" t="str">
        <f>_xlfn.XLOOKUP(B11,C_S_Digital[ID_C],C_S_Digital[Responsable estrategia],"",0)</f>
        <v/>
      </c>
      <c r="U11" s="215" t="str">
        <f>_xlfn.XLOOKUP(B11,C_S_Digital[ID_C],C_S_Digital[Fecha inicio],"",0)</f>
        <v/>
      </c>
      <c r="V11" s="215" t="str">
        <f>_xlfn.XLOOKUP(B11,C_S_Digital[ID_C],C_S_Digital[Fecha fin],"",0)</f>
        <v/>
      </c>
      <c r="W11" s="216" t="str">
        <f>_xlfn.XLOOKUP(B11,C_S_Digital[ID_C],C_S_Digital[Peso],"",0)</f>
        <v/>
      </c>
      <c r="X11" s="213" t="str">
        <f>_xlfn.XLOOKUP(B11,C_S_Digital[ID_C],C_S_Digital[Efecto],"",0)</f>
        <v/>
      </c>
      <c r="Y11" s="216" t="str">
        <f>_xlfn.XLOOKUP(B11,C_S_Digital[ID_C],C_S_Digital[Cambio P %],"",0)</f>
        <v/>
      </c>
      <c r="Z11" s="211" t="str">
        <f>_xlfn.XLOOKUP(B11,C_S_Digital[ID_C],C_S_Digital[Cambio I %],"",0)</f>
        <v/>
      </c>
    </row>
    <row r="12" spans="1:31" x14ac:dyDescent="0.25">
      <c r="B12" s="213" t="e">
        <f>B11+1</f>
        <v>#VALUE!</v>
      </c>
      <c r="C12" s="81" t="e">
        <f>_xlfn.XLOOKUP(B12,C_S_Digital[ID_C],C_S_Digital[Vulnerabilidades (Causas)],"",0)</f>
        <v>#VALUE!</v>
      </c>
      <c r="D12" s="81" t="e">
        <f>_xlfn.XLOOKUP(B12,C_S_Digital[ID_C],C_S_Digital[Código control],"",0)</f>
        <v>#VALUE!</v>
      </c>
      <c r="E12" s="81" t="e">
        <f>_xlfn.XLOOKUP(B12,C_S_Digital[ID_C],C_S_Digital[Responsable de ejecutar],"",0)</f>
        <v>#VALUE!</v>
      </c>
      <c r="F12" s="81" t="e">
        <f>_xlfn.XLOOKUP(B12,C_S_Digital[ID_C],C_S_Digital[Acción de control],"",0)</f>
        <v>#VALUE!</v>
      </c>
      <c r="G12" s="81" t="e">
        <f>_xlfn.XLOOKUP(B12,C_S_Digital[ID_C],C_S_Digital[Complemento],"",0)</f>
        <v>#VALUE!</v>
      </c>
      <c r="H12" s="219" t="e">
        <f>_xlfn.XLOOKUP(B12,C_S_Digital[ID_C],C_S_Digital[Momento de ejecución],"",0)</f>
        <v>#VALUE!</v>
      </c>
      <c r="I12" s="81" t="e">
        <f>_xlfn.XLOOKUP(B12,C_S_Digital[ID_C],C_S_Digital[Forma de ejecución],"",0)</f>
        <v>#VALUE!</v>
      </c>
      <c r="J12" s="81" t="e">
        <f>_xlfn.XLOOKUP(B12,C_S_Digital[ID_C],C_S_Digital[Documentación],"",0)</f>
        <v>#VALUE!</v>
      </c>
      <c r="K12" s="81" t="e">
        <f>_xlfn.XLOOKUP(B12,C_S_Digital[ID_C],C_S_Digital[Frecuencia],"",0)</f>
        <v>#VALUE!</v>
      </c>
      <c r="L12" s="81" t="e">
        <f>_xlfn.XLOOKUP(B12,C_S_Digital[ID_C],C_S_Digital[Evidencia],"",0)</f>
        <v>#VALUE!</v>
      </c>
      <c r="R12" s="213" t="e">
        <f>_xlfn.XLOOKUP(B12,C_S_Digital[ID_C],C_S_Digital[Tratamiento],"",0)</f>
        <v>#VALUE!</v>
      </c>
      <c r="S12" s="214" t="e">
        <f>_xlfn.XLOOKUP(B12,C_S_Digital[ID_C],C_S_Digital[Actividad fortalecimiento],"",0)</f>
        <v>#VALUE!</v>
      </c>
      <c r="T12" s="213" t="e">
        <f>_xlfn.XLOOKUP(B12,C_S_Digital[ID_C],C_S_Digital[Responsable estrategia],"",0)</f>
        <v>#VALUE!</v>
      </c>
      <c r="U12" s="215" t="e">
        <f>_xlfn.XLOOKUP(B12,C_S_Digital[ID_C],C_S_Digital[Fecha inicio],"",0)</f>
        <v>#VALUE!</v>
      </c>
      <c r="V12" s="215" t="e">
        <f>_xlfn.XLOOKUP(B12,C_S_Digital[ID_C],C_S_Digital[Fecha fin],"",0)</f>
        <v>#VALUE!</v>
      </c>
      <c r="W12" s="216" t="e">
        <f>_xlfn.XLOOKUP(B12,C_S_Digital[ID_C],C_S_Digital[Peso],"",0)</f>
        <v>#VALUE!</v>
      </c>
      <c r="X12" s="213" t="e">
        <f>_xlfn.XLOOKUP(B12,C_S_Digital[ID_C],C_S_Digital[Efecto],"",0)</f>
        <v>#VALUE!</v>
      </c>
      <c r="Y12" s="216" t="e">
        <f>_xlfn.XLOOKUP(B12,C_S_Digital[ID_C],C_S_Digital[Cambio P %],"",0)</f>
        <v>#VALUE!</v>
      </c>
      <c r="Z12" s="211" t="e">
        <f>_xlfn.XLOOKUP(B12,C_S_Digital[ID_C],C_S_Digital[Cambio I %],"",0)</f>
        <v>#VALUE!</v>
      </c>
    </row>
    <row r="13" spans="1:31" x14ac:dyDescent="0.25">
      <c r="B13" s="213" t="e">
        <f t="shared" ref="B13:B16" si="0">B12+1</f>
        <v>#VALUE!</v>
      </c>
      <c r="C13" s="81" t="e">
        <f>_xlfn.XLOOKUP(B13,C_S_Digital[ID_C],C_S_Digital[Vulnerabilidades (Causas)],"",0)</f>
        <v>#VALUE!</v>
      </c>
      <c r="D13" s="81" t="e">
        <f>_xlfn.XLOOKUP(B13,C_S_Digital[ID_C],C_S_Digital[Código control],"",0)</f>
        <v>#VALUE!</v>
      </c>
      <c r="E13" s="81" t="e">
        <f>_xlfn.XLOOKUP(B13,C_S_Digital[ID_C],C_S_Digital[Responsable de ejecutar],"",0)</f>
        <v>#VALUE!</v>
      </c>
      <c r="F13" s="81" t="e">
        <f>_xlfn.XLOOKUP(B13,C_S_Digital[ID_C],C_S_Digital[Acción de control],"",0)</f>
        <v>#VALUE!</v>
      </c>
      <c r="G13" s="81" t="e">
        <f>_xlfn.XLOOKUP(B13,C_S_Digital[ID_C],C_S_Digital[Complemento],"",0)</f>
        <v>#VALUE!</v>
      </c>
      <c r="H13" s="219" t="e">
        <f>_xlfn.XLOOKUP(B13,C_S_Digital[ID_C],C_S_Digital[Momento de ejecución],"",0)</f>
        <v>#VALUE!</v>
      </c>
      <c r="I13" s="81" t="e">
        <f>_xlfn.XLOOKUP(B13,C_S_Digital[ID_C],C_S_Digital[Forma de ejecución],"",0)</f>
        <v>#VALUE!</v>
      </c>
      <c r="J13" s="81" t="e">
        <f>_xlfn.XLOOKUP(B13,C_S_Digital[ID_C],C_S_Digital[Documentación],"",0)</f>
        <v>#VALUE!</v>
      </c>
      <c r="K13" s="81" t="e">
        <f>_xlfn.XLOOKUP(B13,C_S_Digital[ID_C],C_S_Digital[Frecuencia],"",0)</f>
        <v>#VALUE!</v>
      </c>
      <c r="L13" s="81" t="e">
        <f>_xlfn.XLOOKUP(B13,C_S_Digital[ID_C],C_S_Digital[Evidencia],"",0)</f>
        <v>#VALUE!</v>
      </c>
      <c r="R13" s="213" t="e">
        <f>_xlfn.XLOOKUP(B13,C_S_Digital[ID_C],C_S_Digital[Tratamiento],"",0)</f>
        <v>#VALUE!</v>
      </c>
      <c r="S13" s="214" t="e">
        <f>_xlfn.XLOOKUP(B13,C_S_Digital[ID_C],C_S_Digital[Actividad fortalecimiento],"",0)</f>
        <v>#VALUE!</v>
      </c>
      <c r="T13" s="213" t="e">
        <f>_xlfn.XLOOKUP(B13,C_S_Digital[ID_C],C_S_Digital[Responsable estrategia],"",0)</f>
        <v>#VALUE!</v>
      </c>
      <c r="U13" s="215" t="e">
        <f>_xlfn.XLOOKUP(B13,C_S_Digital[ID_C],C_S_Digital[Fecha inicio],"",0)</f>
        <v>#VALUE!</v>
      </c>
      <c r="V13" s="215" t="e">
        <f>_xlfn.XLOOKUP(B13,C_S_Digital[ID_C],C_S_Digital[Fecha fin],"",0)</f>
        <v>#VALUE!</v>
      </c>
      <c r="W13" s="216" t="e">
        <f>_xlfn.XLOOKUP(B13,C_S_Digital[ID_C],C_S_Digital[Peso],"",0)</f>
        <v>#VALUE!</v>
      </c>
      <c r="X13" s="213" t="e">
        <f>_xlfn.XLOOKUP(B13,C_S_Digital[ID_C],C_S_Digital[Efecto],"",0)</f>
        <v>#VALUE!</v>
      </c>
      <c r="Y13" s="216" t="e">
        <f>_xlfn.XLOOKUP(B13,C_S_Digital[ID_C],C_S_Digital[Cambio P %],"",0)</f>
        <v>#VALUE!</v>
      </c>
      <c r="Z13" s="211" t="e">
        <f>_xlfn.XLOOKUP(B13,C_S_Digital[ID_C],C_S_Digital[Cambio I %],"",0)</f>
        <v>#VALUE!</v>
      </c>
    </row>
    <row r="14" spans="1:31" x14ac:dyDescent="0.25">
      <c r="B14" s="213" t="e">
        <f t="shared" si="0"/>
        <v>#VALUE!</v>
      </c>
      <c r="C14" s="81" t="e">
        <f>_xlfn.XLOOKUP(B14,C_S_Digital[ID_C],C_S_Digital[Vulnerabilidades (Causas)],"",0)</f>
        <v>#VALUE!</v>
      </c>
      <c r="D14" s="81" t="e">
        <f>_xlfn.XLOOKUP(B14,C_S_Digital[ID_C],C_S_Digital[Código control],"",0)</f>
        <v>#VALUE!</v>
      </c>
      <c r="E14" s="81" t="e">
        <f>_xlfn.XLOOKUP(B14,C_S_Digital[ID_C],C_S_Digital[Responsable de ejecutar],"",0)</f>
        <v>#VALUE!</v>
      </c>
      <c r="F14" s="81" t="e">
        <f>_xlfn.XLOOKUP(B14,C_S_Digital[ID_C],C_S_Digital[Acción de control],"",0)</f>
        <v>#VALUE!</v>
      </c>
      <c r="G14" s="81" t="e">
        <f>_xlfn.XLOOKUP(B14,C_S_Digital[ID_C],C_S_Digital[Complemento],"",0)</f>
        <v>#VALUE!</v>
      </c>
      <c r="H14" s="219" t="e">
        <f>_xlfn.XLOOKUP(B14,C_S_Digital[ID_C],C_S_Digital[Momento de ejecución],"",0)</f>
        <v>#VALUE!</v>
      </c>
      <c r="I14" s="81" t="e">
        <f>_xlfn.XLOOKUP(B14,C_S_Digital[ID_C],C_S_Digital[Forma de ejecución],"",0)</f>
        <v>#VALUE!</v>
      </c>
      <c r="J14" s="81" t="e">
        <f>_xlfn.XLOOKUP(B14,C_S_Digital[ID_C],C_S_Digital[Documentación],"",0)</f>
        <v>#VALUE!</v>
      </c>
      <c r="K14" s="81" t="e">
        <f>_xlfn.XLOOKUP(B14,C_S_Digital[ID_C],C_S_Digital[Frecuencia],"",0)</f>
        <v>#VALUE!</v>
      </c>
      <c r="L14" s="81" t="e">
        <f>_xlfn.XLOOKUP(B14,C_S_Digital[ID_C],C_S_Digital[Evidencia],"",0)</f>
        <v>#VALUE!</v>
      </c>
      <c r="R14" s="213" t="e">
        <f>_xlfn.XLOOKUP(B14,C_S_Digital[ID_C],C_S_Digital[Tratamiento],"",0)</f>
        <v>#VALUE!</v>
      </c>
      <c r="S14" s="214" t="e">
        <f>_xlfn.XLOOKUP(B14,C_S_Digital[ID_C],C_S_Digital[Actividad fortalecimiento],"",0)</f>
        <v>#VALUE!</v>
      </c>
      <c r="T14" s="213" t="e">
        <f>_xlfn.XLOOKUP(B14,C_S_Digital[ID_C],C_S_Digital[Responsable estrategia],"",0)</f>
        <v>#VALUE!</v>
      </c>
      <c r="U14" s="215" t="e">
        <f>_xlfn.XLOOKUP(B14,C_S_Digital[ID_C],C_S_Digital[Fecha inicio],"",0)</f>
        <v>#VALUE!</v>
      </c>
      <c r="V14" s="215" t="e">
        <f>_xlfn.XLOOKUP(B14,C_S_Digital[ID_C],C_S_Digital[Fecha fin],"",0)</f>
        <v>#VALUE!</v>
      </c>
      <c r="W14" s="216" t="e">
        <f>_xlfn.XLOOKUP(B14,C_S_Digital[ID_C],C_S_Digital[Peso],"",0)</f>
        <v>#VALUE!</v>
      </c>
      <c r="X14" s="213" t="e">
        <f>_xlfn.XLOOKUP(B14,C_S_Digital[ID_C],C_S_Digital[Efecto],"",0)</f>
        <v>#VALUE!</v>
      </c>
      <c r="Y14" s="216" t="e">
        <f>_xlfn.XLOOKUP(B14,C_S_Digital[ID_C],C_S_Digital[Cambio P %],"",0)</f>
        <v>#VALUE!</v>
      </c>
      <c r="Z14" s="211" t="e">
        <f>_xlfn.XLOOKUP(B14,C_S_Digital[ID_C],C_S_Digital[Cambio I %],"",0)</f>
        <v>#VALUE!</v>
      </c>
    </row>
    <row r="15" spans="1:31" x14ac:dyDescent="0.25">
      <c r="B15" s="213" t="e">
        <f t="shared" si="0"/>
        <v>#VALUE!</v>
      </c>
      <c r="C15" s="81" t="e">
        <f>_xlfn.XLOOKUP(B15,C_S_Digital[ID_C],C_S_Digital[Vulnerabilidades (Causas)],"",0)</f>
        <v>#VALUE!</v>
      </c>
      <c r="D15" s="81" t="e">
        <f>_xlfn.XLOOKUP(B15,C_S_Digital[ID_C],C_S_Digital[Código control],"",0)</f>
        <v>#VALUE!</v>
      </c>
      <c r="E15" s="81" t="e">
        <f>_xlfn.XLOOKUP(B15,C_S_Digital[ID_C],C_S_Digital[Responsable de ejecutar],"",0)</f>
        <v>#VALUE!</v>
      </c>
      <c r="F15" s="81" t="e">
        <f>_xlfn.XLOOKUP(B15,C_S_Digital[ID_C],C_S_Digital[Acción de control],"",0)</f>
        <v>#VALUE!</v>
      </c>
      <c r="G15" s="81" t="e">
        <f>_xlfn.XLOOKUP(B15,C_S_Digital[ID_C],C_S_Digital[Complemento],"",0)</f>
        <v>#VALUE!</v>
      </c>
      <c r="H15" s="219" t="e">
        <f>_xlfn.XLOOKUP(B15,C_S_Digital[ID_C],C_S_Digital[Momento de ejecución],"",0)</f>
        <v>#VALUE!</v>
      </c>
      <c r="I15" s="81" t="e">
        <f>_xlfn.XLOOKUP(B15,C_S_Digital[ID_C],C_S_Digital[Forma de ejecución],"",0)</f>
        <v>#VALUE!</v>
      </c>
      <c r="J15" s="81" t="e">
        <f>_xlfn.XLOOKUP(B15,C_S_Digital[ID_C],C_S_Digital[Documentación],"",0)</f>
        <v>#VALUE!</v>
      </c>
      <c r="K15" s="81" t="e">
        <f>_xlfn.XLOOKUP(B15,C_S_Digital[ID_C],C_S_Digital[Frecuencia],"",0)</f>
        <v>#VALUE!</v>
      </c>
      <c r="L15" s="81" t="e">
        <f>_xlfn.XLOOKUP(B15,C_S_Digital[ID_C],C_S_Digital[Evidencia],"",0)</f>
        <v>#VALUE!</v>
      </c>
      <c r="R15" s="213" t="e">
        <f>_xlfn.XLOOKUP(B15,C_S_Digital[ID_C],C_S_Digital[Tratamiento],"",0)</f>
        <v>#VALUE!</v>
      </c>
      <c r="S15" s="214" t="e">
        <f>_xlfn.XLOOKUP(B15,C_S_Digital[ID_C],C_S_Digital[Actividad fortalecimiento],"",0)</f>
        <v>#VALUE!</v>
      </c>
      <c r="T15" s="213" t="e">
        <f>_xlfn.XLOOKUP(B15,C_S_Digital[ID_C],C_S_Digital[Responsable estrategia],"",0)</f>
        <v>#VALUE!</v>
      </c>
      <c r="U15" s="215" t="e">
        <f>_xlfn.XLOOKUP(B15,C_S_Digital[ID_C],C_S_Digital[Fecha inicio],"",0)</f>
        <v>#VALUE!</v>
      </c>
      <c r="V15" s="215" t="e">
        <f>_xlfn.XLOOKUP(B15,C_S_Digital[ID_C],C_S_Digital[Fecha fin],"",0)</f>
        <v>#VALUE!</v>
      </c>
      <c r="W15" s="216" t="e">
        <f>_xlfn.XLOOKUP(B15,C_S_Digital[ID_C],C_S_Digital[Peso],"",0)</f>
        <v>#VALUE!</v>
      </c>
      <c r="X15" s="213" t="e">
        <f>_xlfn.XLOOKUP(B15,C_S_Digital[ID_C],C_S_Digital[Efecto],"",0)</f>
        <v>#VALUE!</v>
      </c>
      <c r="Y15" s="216" t="e">
        <f>_xlfn.XLOOKUP(B15,C_S_Digital[ID_C],C_S_Digital[Cambio P %],"",0)</f>
        <v>#VALUE!</v>
      </c>
      <c r="Z15" s="211" t="e">
        <f>_xlfn.XLOOKUP(B15,C_S_Digital[ID_C],C_S_Digital[Cambio I %],"",0)</f>
        <v>#VALUE!</v>
      </c>
    </row>
    <row r="16" spans="1:31" x14ac:dyDescent="0.25">
      <c r="B16" s="213" t="e">
        <f t="shared" si="0"/>
        <v>#VALUE!</v>
      </c>
      <c r="C16" s="81" t="e">
        <f>_xlfn.XLOOKUP(B16,C_S_Digital[ID_C],C_S_Digital[Vulnerabilidades (Causas)],"",0)</f>
        <v>#VALUE!</v>
      </c>
      <c r="D16" s="81" t="e">
        <f>_xlfn.XLOOKUP(B16,C_S_Digital[ID_C],C_S_Digital[Código control],"",0)</f>
        <v>#VALUE!</v>
      </c>
      <c r="E16" s="81" t="e">
        <f>_xlfn.XLOOKUP(B16,C_S_Digital[ID_C],C_S_Digital[Responsable de ejecutar],"",0)</f>
        <v>#VALUE!</v>
      </c>
      <c r="F16" s="81" t="e">
        <f>_xlfn.XLOOKUP(B16,C_S_Digital[ID_C],C_S_Digital[Acción de control],"",0)</f>
        <v>#VALUE!</v>
      </c>
      <c r="G16" s="81" t="e">
        <f>_xlfn.XLOOKUP(B16,C_S_Digital[ID_C],C_S_Digital[Complemento],"",0)</f>
        <v>#VALUE!</v>
      </c>
      <c r="H16" s="219" t="e">
        <f>_xlfn.XLOOKUP(B16,C_S_Digital[ID_C],C_S_Digital[Momento de ejecución],"",0)</f>
        <v>#VALUE!</v>
      </c>
      <c r="I16" s="81" t="e">
        <f>_xlfn.XLOOKUP(B16,C_S_Digital[ID_C],C_S_Digital[Forma de ejecución],"",0)</f>
        <v>#VALUE!</v>
      </c>
      <c r="J16" s="81" t="e">
        <f>_xlfn.XLOOKUP(B16,C_S_Digital[ID_C],C_S_Digital[Documentación],"",0)</f>
        <v>#VALUE!</v>
      </c>
      <c r="K16" s="81" t="e">
        <f>_xlfn.XLOOKUP(B16,C_S_Digital[ID_C],C_S_Digital[Frecuencia],"",0)</f>
        <v>#VALUE!</v>
      </c>
      <c r="L16" s="81" t="e">
        <f>_xlfn.XLOOKUP(B16,C_S_Digital[ID_C],C_S_Digital[Evidencia],"",0)</f>
        <v>#VALUE!</v>
      </c>
      <c r="R16" s="213" t="e">
        <f>_xlfn.XLOOKUP(B16,C_S_Digital[ID_C],C_S_Digital[Tratamiento],"",0)</f>
        <v>#VALUE!</v>
      </c>
      <c r="S16" s="214" t="e">
        <f>_xlfn.XLOOKUP(B16,C_S_Digital[ID_C],C_S_Digital[Actividad fortalecimiento],"",0)</f>
        <v>#VALUE!</v>
      </c>
      <c r="T16" s="213" t="e">
        <f>_xlfn.XLOOKUP(B16,C_S_Digital[ID_C],C_S_Digital[Responsable estrategia],"",0)</f>
        <v>#VALUE!</v>
      </c>
      <c r="U16" s="215" t="e">
        <f>_xlfn.XLOOKUP(B16,C_S_Digital[ID_C],C_S_Digital[Fecha inicio],"",0)</f>
        <v>#VALUE!</v>
      </c>
      <c r="V16" s="215" t="e">
        <f>_xlfn.XLOOKUP(B16,C_S_Digital[ID_C],C_S_Digital[Fecha fin],"",0)</f>
        <v>#VALUE!</v>
      </c>
      <c r="W16" s="216" t="e">
        <f>_xlfn.XLOOKUP(B16,C_S_Digital[ID_C],C_S_Digital[Peso],"",0)</f>
        <v>#VALUE!</v>
      </c>
      <c r="X16" s="213" t="e">
        <f>_xlfn.XLOOKUP(B16,C_S_Digital[ID_C],C_S_Digital[Efecto],"",0)</f>
        <v>#VALUE!</v>
      </c>
      <c r="Y16" s="216" t="e">
        <f>_xlfn.XLOOKUP(B16,C_S_Digital[ID_C],C_S_Digital[Cambio P %],"",0)</f>
        <v>#VALUE!</v>
      </c>
      <c r="Z16" s="211" t="e">
        <f>_xlfn.XLOOKUP(B16,C_S_Digital[ID_C],C_S_Digital[Cambio I %],"",0)</f>
        <v>#VALUE!</v>
      </c>
    </row>
    <row r="18" spans="2:12" x14ac:dyDescent="0.25">
      <c r="B18" s="338" t="s">
        <v>367</v>
      </c>
      <c r="C18" s="339"/>
      <c r="D18" s="339"/>
      <c r="E18" s="339"/>
      <c r="F18" s="339"/>
      <c r="H18" s="338" t="s">
        <v>367</v>
      </c>
      <c r="I18" s="339"/>
      <c r="J18" s="339"/>
      <c r="K18" s="339"/>
      <c r="L18" s="339"/>
    </row>
    <row r="19" spans="2:12" ht="16.5" thickBot="1" x14ac:dyDescent="0.3">
      <c r="B19" s="338"/>
      <c r="C19" s="340"/>
      <c r="D19" s="340"/>
      <c r="E19" s="340"/>
      <c r="F19" s="340"/>
      <c r="H19" s="338"/>
      <c r="I19" s="340"/>
      <c r="J19" s="340"/>
      <c r="K19" s="340"/>
      <c r="L19" s="340"/>
    </row>
    <row r="20" spans="2:12" x14ac:dyDescent="0.25">
      <c r="C20" s="318" t="s">
        <v>368</v>
      </c>
      <c r="D20" s="318"/>
      <c r="E20" s="318"/>
      <c r="F20" s="318"/>
      <c r="I20" s="318" t="s">
        <v>369</v>
      </c>
      <c r="J20" s="318"/>
      <c r="K20" s="318"/>
      <c r="L20" s="318"/>
    </row>
  </sheetData>
  <protectedRanges>
    <protectedRange algorithmName="SHA-512" hashValue="2cwbXB1gfNhyd5Qi8ruJz6rElyNwycdmu2HsCFMx6fFUmYYmerO60AdODHu+YaertFqS74i3wVGprsFU/7ec5g==" saltValue="aGitTY3u+C7UOW2L9nQYFw==" spinCount="100000" sqref="G5:J5" name="Rango1_1"/>
    <protectedRange algorithmName="SHA-512" hashValue="2cwbXB1gfNhyd5Qi8ruJz6rElyNwycdmu2HsCFMx6fFUmYYmerO60AdODHu+YaertFqS74i3wVGprsFU/7ec5g==" saltValue="aGitTY3u+C7UOW2L9nQYFw==" spinCount="100000" sqref="N5" name="Rango1_3_1"/>
  </protectedRanges>
  <mergeCells count="33">
    <mergeCell ref="D3:O3"/>
    <mergeCell ref="D4:K4"/>
    <mergeCell ref="L4:O4"/>
    <mergeCell ref="W9:Z9"/>
    <mergeCell ref="B18:B19"/>
    <mergeCell ref="C18:F19"/>
    <mergeCell ref="H18:H19"/>
    <mergeCell ref="I18:L19"/>
    <mergeCell ref="R3:W3"/>
    <mergeCell ref="X3:Y3"/>
    <mergeCell ref="Z3:AE3"/>
    <mergeCell ref="C20:F20"/>
    <mergeCell ref="I20:L20"/>
    <mergeCell ref="Z4:AE4"/>
    <mergeCell ref="B8:C8"/>
    <mergeCell ref="D8:L8"/>
    <mergeCell ref="R8:V8"/>
    <mergeCell ref="W8:Z8"/>
    <mergeCell ref="B9:C9"/>
    <mergeCell ref="D9:G9"/>
    <mergeCell ref="H9:I9"/>
    <mergeCell ref="J9:L9"/>
    <mergeCell ref="R9:V9"/>
    <mergeCell ref="R4:S4"/>
    <mergeCell ref="T4:U4"/>
    <mergeCell ref="V4:W4"/>
    <mergeCell ref="X4:Y4"/>
    <mergeCell ref="B1:C1"/>
    <mergeCell ref="R1:S1"/>
    <mergeCell ref="T1:AB1"/>
    <mergeCell ref="AC1:AE1"/>
    <mergeCell ref="M1:O1"/>
    <mergeCell ref="D1:L1"/>
  </mergeCells>
  <dataValidations count="21">
    <dataValidation allowBlank="1" showInputMessage="1" showErrorMessage="1" promptTitle="Nombre del activo de información" prompt="Se debe seleccionar una opción de la lista desplegable." sqref="F5" xr:uid="{75665CB8-D88E-4D7C-92FE-EBD57924EB37}"/>
    <dataValidation allowBlank="1" showInputMessage="1" showErrorMessage="1" promptTitle="Descripción del riesgo" prompt="Es una columna que se diligencia automáticamente, a partir de la información consignada en las celdas precedentes" sqref="K5" xr:uid="{BCEFEA3E-EE1B-4C1D-A964-7140E84DB950}"/>
    <dataValidation allowBlank="1" showInputMessage="1" showErrorMessage="1" promptTitle="Amenaza" prompt="Evento que conlleva consecuencias negativas para las operaciones, funciones, marca, reputación o imagen percibida del ICC" sqref="J5" xr:uid="{7C871C29-68C5-4430-9B6E-2942CF4749B7}"/>
    <dataValidation allowBlank="1" showInputMessage="1" showErrorMessage="1" promptTitle="Amenaza" prompt="Evento que conlleva consecuencias negativas para las operaciones, funciones, marca, reputación o imagen percibida del ICC_x000a_" sqref="J5" xr:uid="{756A9995-1F9A-44F0-9749-9C78EC826575}"/>
    <dataValidation allowBlank="1" showInputMessage="1" showErrorMessage="1" promptTitle="Riesgo" prompt="El riesgo de seguridad digital se clasifica en tres tipos según la pérdida de: confidencialidad, integridad o disponibilidad" sqref="I5" xr:uid="{9037B5EB-7EC4-4316-A96F-09CEE46780F2}"/>
    <dataValidation allowBlank="1" showInputMessage="1" showErrorMessage="1" promptTitle="Riesgo seguridad" prompt="El riesgo de seguridad digital se clasifica en tres tipos, según la pérdida: condifencialidad, integridad o disponibilidad" sqref="I5" xr:uid="{9642577E-E39B-470C-8E02-8E550143A0C3}"/>
    <dataValidation allowBlank="1" showInputMessage="1" showErrorMessage="1" promptTitle="Nombre activo de información" prompt="En esta columna se consigna la denominación del activo de información objeto de estudio" sqref="F5" xr:uid="{1FF3C118-6E89-4B0A-BA9B-83D1770D375F}"/>
    <dataValidation allowBlank="1" showInputMessage="1" showErrorMessage="1" promptTitle="Tipo de activo de información" prompt="Permite clasificar los activos de información mediente lista desplegable" sqref="E5" xr:uid="{7A284C35-F884-48BA-AD94-8E6BC37E5D01}"/>
    <dataValidation allowBlank="1" showInputMessage="1" showErrorMessage="1" promptTitle="Tipo activo de información" prompt="Permite clasificar los activos de información, según la lista desplegable" sqref="E5" xr:uid="{037EA4E1-8DBE-44B1-82D9-E246968AB8D6}"/>
    <dataValidation allowBlank="1" showInputMessage="1" showErrorMessage="1" promptTitle="Descriptor Factor" prompt="Se debe seleccionar una opción de la lista desplegable." sqref="H5" xr:uid="{44DC5689-4697-433C-8CC4-713ECE7F5170}"/>
    <dataValidation allowBlank="1" showInputMessage="1" showErrorMessage="1" promptTitle="Descriptor Factor" prompt="Son casos asociados al factor de riesgo, estos se encuentran definidos en la política de riesgos del ICC" sqref="H5" xr:uid="{64E7029A-151A-426A-8ED2-594171162FAA}"/>
    <dataValidation allowBlank="1" showInputMessage="1" showErrorMessage="1" promptTitle="Consecutivo de riesgo" prompt="Es un consecutivo de seis en seis, que permite alinear los riesgos con los controles" sqref="B5" xr:uid="{1D5786F3-2DD8-47A3-A88C-27880421E3D0}"/>
    <dataValidation allowBlank="1" showInputMessage="1" showErrorMessage="1" promptTitle="Factor riesgo" prompt="Es un valor alfanúmerico que asigna el administrador del SIG para el control de cambios de los riesgos, debe ser único." sqref="G5" xr:uid="{EFF760B2-EC6B-4659-A489-C31B6B9AE8B6}"/>
    <dataValidation allowBlank="1" showInputMessage="1" showErrorMessage="1" promptTitle="Código Riesgo" prompt="Es un valor alfanúmerico que asigna el administrador del SIG para el control de cambios de los riesgos, debe ser único." sqref="D5" xr:uid="{9196CCD8-D6E2-4EF0-A58E-DBBB053B7D11}"/>
    <dataValidation allowBlank="1" showInputMessage="1" showErrorMessage="1" promptTitle="Unidad de medida" prompt="Se refiere al entregable que resulta de realizar la actividad que origina el riesgo, por ejemplo: actas, consignaciones, facturas, etc." sqref="M5:O5" xr:uid="{714ACF65-0409-4011-AFE6-899FADC17D65}"/>
    <dataValidation allowBlank="1" showInputMessage="1" showErrorMessage="1" promptTitle="Frecuencia" prompt="Se refiere a la cantidad de veces que se realiza la actividad que origina el riesgo en un año, por ejemplo: transferencias, registros, pagos, etc. Debe ser un valor númerico" sqref="L5" xr:uid="{E7ECBEB4-CFE2-4BFC-9625-CAD79B53966F}"/>
    <dataValidation allowBlank="1" showInputMessage="1" showErrorMessage="1" promptTitle="Factor de riesgo" prompt="Son las fuentes generadoras de riesgo, se debe seleccionar un valor de la lista desplegable." sqref="G5" xr:uid="{3C9BABB5-FE8A-4292-AFC4-37E3BCD9A387}"/>
    <dataValidation allowBlank="1" showInputMessage="1" showErrorMessage="1" promptTitle="Impacto" prompt="Según la afectación definida (económica o reputacional), se depliega una lista dónde se debe seleccionar el monto o el nivel de afectación del riesgo respectivamente" sqref="O5" xr:uid="{5935A912-B791-47D4-A8C1-1CB9B25529F6}"/>
    <dataValidation allowBlank="1" showInputMessage="1" showErrorMessage="1" promptTitle="Afectación" prompt="Se refiere a ¿qué tipo de afectació genera el riesgo si se mnaterializa?, según la política de riesgos puede ser: Reputacional o Económica. En caso de ser ambas se debe preferir la opción de mayor impacto según la escala definida" sqref="N5" xr:uid="{C8B3B96C-737C-4A39-ABD2-DBA77E1E73A7}"/>
    <dataValidation allowBlank="1" showInputMessage="1" showErrorMessage="1" promptTitle="Proceso" prompt="Seleccione del listado desplegable el proceso correspondiente según el modelo de operación por procesos vigente" sqref="C5" xr:uid="{3C256FA8-BA4C-4E83-A661-278046084060}"/>
    <dataValidation allowBlank="1" showInputMessage="1" showErrorMessage="1" promptTitle="Vulnerabilidades (causas)" prompt="Es el conjunto de motivos que potencializan las amenazas de seguridad de la información" sqref="C10" xr:uid="{ECADBA56-6545-4FF0-A860-0080092AF5FA}"/>
  </dataValidations>
  <printOptions horizontalCentered="1"/>
  <pageMargins left="0.23622047244094491" right="0.23622047244094491" top="0.74803149606299213" bottom="0.74803149606299213" header="0.31496062992125984" footer="0.31496062992125984"/>
  <pageSetup scale="43" pageOrder="overThenDown" orientation="landscape" r:id="rId1"/>
  <headerFooter>
    <oddHeader>&amp;C&amp;14Ficha de riesgo operativo</oddHeader>
    <oddFooter>&amp;C&amp;P de &amp;N</oddFooter>
  </headerFooter>
  <colBreaks count="1" manualBreakCount="1">
    <brk id="16" max="20"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1BEDF7-83C6-4392-A18A-5C0B54DB43B5}">
          <x14:formula1>
            <xm:f>Mapa_RSD!$D$6:$D$41</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FC6D5-C033-4926-A8FF-495BF448C805}">
  <sheetPr>
    <tabColor rgb="FF00B0F0"/>
  </sheetPr>
  <dimension ref="A1:AW353"/>
  <sheetViews>
    <sheetView zoomScale="85" zoomScaleNormal="85" workbookViewId="0">
      <pane xSplit="3" ySplit="5" topLeftCell="J6" activePane="bottomRight" state="frozen"/>
      <selection pane="topRight" activeCell="E5" sqref="E5"/>
      <selection pane="bottomLeft" activeCell="E5" sqref="E5"/>
      <selection pane="bottomRight" activeCell="N4" sqref="N4:R4"/>
    </sheetView>
  </sheetViews>
  <sheetFormatPr baseColWidth="10" defaultColWidth="11.42578125" defaultRowHeight="16.5" x14ac:dyDescent="0.25"/>
  <cols>
    <col min="1" max="1" width="6.42578125" style="3" customWidth="1"/>
    <col min="2" max="2" width="15.5703125" style="3" customWidth="1"/>
    <col min="3" max="3" width="10.85546875" style="3" customWidth="1"/>
    <col min="4" max="4" width="35.42578125" style="3" customWidth="1"/>
    <col min="5" max="5" width="9.7109375" style="3" customWidth="1"/>
    <col min="6" max="6" width="15.28515625" style="2" customWidth="1"/>
    <col min="7" max="7" width="33.28515625" style="2" customWidth="1"/>
    <col min="8" max="8" width="32.42578125" style="2" customWidth="1"/>
    <col min="9" max="10" width="11.140625" style="2" customWidth="1"/>
    <col min="11" max="11" width="12.7109375" customWidth="1"/>
    <col min="13" max="13" width="15.140625" style="2" customWidth="1"/>
    <col min="15" max="15" width="32.7109375" customWidth="1"/>
    <col min="16" max="16" width="22" style="2" customWidth="1"/>
    <col min="17" max="18" width="11" style="2" customWidth="1"/>
    <col min="19" max="22" width="10" style="2" customWidth="1"/>
    <col min="23" max="24" width="13.42578125" style="2" customWidth="1"/>
    <col min="25" max="26" width="12.42578125" style="2" customWidth="1"/>
    <col min="27" max="27" width="21" style="2" customWidth="1"/>
    <col min="28" max="28" width="26" style="2" customWidth="1"/>
    <col min="29" max="29" width="28" style="2" customWidth="1"/>
    <col min="30" max="30" width="34" style="2" customWidth="1"/>
    <col min="31" max="31" width="28" style="2" customWidth="1"/>
    <col min="32" max="32" width="42.42578125" style="2" customWidth="1"/>
    <col min="33" max="33" width="17.28515625" style="2" customWidth="1"/>
    <col min="34" max="34" width="16.42578125" style="2" customWidth="1"/>
    <col min="35" max="35" width="21.42578125" style="2" customWidth="1"/>
    <col min="36" max="36" width="21.7109375" style="2" customWidth="1"/>
    <col min="37" max="37" width="19.42578125" style="2" customWidth="1"/>
    <col min="38" max="38" width="35" style="2" customWidth="1"/>
    <col min="39" max="16384" width="11.42578125" style="2"/>
  </cols>
  <sheetData>
    <row r="1" spans="1:49" ht="18" thickTop="1" thickBot="1" x14ac:dyDescent="0.3">
      <c r="A1" s="280" t="s">
        <v>0</v>
      </c>
      <c r="B1" s="281"/>
      <c r="C1" s="278" t="s">
        <v>370</v>
      </c>
      <c r="D1" s="278"/>
      <c r="E1" s="349" t="s">
        <v>370</v>
      </c>
      <c r="F1" s="349"/>
      <c r="G1" s="349"/>
      <c r="H1" s="349"/>
      <c r="I1" s="349"/>
      <c r="J1" s="349"/>
      <c r="K1" s="349"/>
      <c r="L1" s="349"/>
      <c r="M1" s="349"/>
      <c r="N1" s="278" t="s">
        <v>370</v>
      </c>
      <c r="O1" s="278"/>
      <c r="P1" s="278"/>
      <c r="Q1" s="278"/>
      <c r="R1" s="278"/>
      <c r="S1" s="349" t="s">
        <v>370</v>
      </c>
      <c r="T1" s="349"/>
      <c r="U1" s="349"/>
      <c r="V1" s="349"/>
    </row>
    <row r="2" spans="1:49" ht="18" thickTop="1" thickBot="1" x14ac:dyDescent="0.3">
      <c r="A2" s="344" t="s">
        <v>2</v>
      </c>
      <c r="B2" s="345"/>
      <c r="C2" s="278"/>
      <c r="D2" s="278"/>
      <c r="E2" s="349"/>
      <c r="F2" s="349"/>
      <c r="G2" s="349"/>
      <c r="H2" s="349"/>
      <c r="I2" s="349"/>
      <c r="J2" s="349"/>
      <c r="K2" s="349"/>
      <c r="L2" s="349"/>
      <c r="M2" s="349"/>
      <c r="N2" s="278"/>
      <c r="O2" s="278"/>
      <c r="P2" s="278"/>
      <c r="Q2" s="278"/>
      <c r="R2" s="278"/>
      <c r="S2" s="349"/>
      <c r="T2" s="349"/>
      <c r="U2" s="349"/>
      <c r="V2" s="349"/>
      <c r="AI2" s="4"/>
      <c r="AJ2" s="4"/>
      <c r="AK2" s="4"/>
      <c r="AL2" s="4"/>
      <c r="AM2" s="4"/>
      <c r="AN2" s="4"/>
      <c r="AO2" s="4"/>
      <c r="AP2" s="4"/>
      <c r="AQ2" s="4"/>
      <c r="AR2" s="4"/>
      <c r="AS2" s="4"/>
      <c r="AT2" s="4"/>
      <c r="AU2" s="4"/>
      <c r="AV2" s="4"/>
      <c r="AW2" s="4"/>
    </row>
    <row r="3" spans="1:49" ht="18" customHeight="1" thickTop="1" thickBot="1" x14ac:dyDescent="0.3">
      <c r="A3" s="346" t="s">
        <v>371</v>
      </c>
      <c r="B3" s="347"/>
      <c r="C3" s="285" t="s">
        <v>3</v>
      </c>
      <c r="D3" s="285"/>
      <c r="E3" s="341" t="s">
        <v>5</v>
      </c>
      <c r="F3" s="348"/>
      <c r="G3" s="348"/>
      <c r="H3" s="348"/>
      <c r="I3" s="348"/>
      <c r="J3" s="348"/>
      <c r="K3" s="348"/>
      <c r="L3" s="348"/>
      <c r="M3" s="348"/>
      <c r="N3" s="293" t="s">
        <v>7</v>
      </c>
      <c r="O3" s="293"/>
      <c r="P3" s="293"/>
      <c r="Q3" s="293"/>
      <c r="R3" s="293"/>
      <c r="S3" s="350" t="s">
        <v>6</v>
      </c>
      <c r="T3" s="350"/>
      <c r="U3" s="350"/>
      <c r="V3" s="350"/>
      <c r="AI3" s="4"/>
      <c r="AJ3" s="4"/>
      <c r="AK3" s="4"/>
      <c r="AL3" s="4"/>
      <c r="AM3" s="4"/>
      <c r="AN3" s="4"/>
      <c r="AO3" s="4"/>
      <c r="AP3" s="4"/>
      <c r="AQ3" s="4"/>
      <c r="AR3" s="4"/>
      <c r="AS3" s="4"/>
      <c r="AT3" s="4"/>
      <c r="AU3" s="4"/>
      <c r="AV3" s="4"/>
      <c r="AW3" s="4"/>
    </row>
    <row r="4" spans="1:49" ht="50.25" customHeight="1" thickTop="1" x14ac:dyDescent="0.25">
      <c r="A4" s="343" t="s">
        <v>372</v>
      </c>
      <c r="B4" s="343"/>
      <c r="C4" s="284" t="s">
        <v>356</v>
      </c>
      <c r="D4" s="284"/>
      <c r="E4" s="291" t="s">
        <v>13</v>
      </c>
      <c r="F4" s="291"/>
      <c r="G4" s="291"/>
      <c r="H4" s="291"/>
      <c r="I4" s="291" t="s">
        <v>14</v>
      </c>
      <c r="J4" s="291"/>
      <c r="K4" s="291" t="s">
        <v>357</v>
      </c>
      <c r="L4" s="291"/>
      <c r="M4" s="291"/>
      <c r="N4" s="294" t="s">
        <v>16</v>
      </c>
      <c r="O4" s="294"/>
      <c r="P4" s="294"/>
      <c r="Q4" s="294"/>
      <c r="R4" s="294"/>
      <c r="S4" s="351" t="s">
        <v>358</v>
      </c>
      <c r="T4" s="351"/>
      <c r="U4" s="351"/>
      <c r="V4" s="351"/>
      <c r="AI4" s="4"/>
      <c r="AJ4" s="4"/>
      <c r="AK4" s="4"/>
      <c r="AL4" s="4"/>
      <c r="AM4" s="4"/>
      <c r="AN4" s="4"/>
      <c r="AO4" s="4"/>
      <c r="AP4" s="4"/>
      <c r="AQ4" s="4"/>
      <c r="AR4" s="4"/>
      <c r="AS4" s="4"/>
      <c r="AT4" s="4"/>
      <c r="AU4" s="4"/>
      <c r="AV4" s="4"/>
      <c r="AW4" s="4"/>
    </row>
    <row r="5" spans="1:49" ht="49.5" x14ac:dyDescent="0.25">
      <c r="A5" s="138" t="s">
        <v>325</v>
      </c>
      <c r="B5" s="138" t="s">
        <v>18</v>
      </c>
      <c r="C5" s="138" t="s">
        <v>326</v>
      </c>
      <c r="D5" s="135" t="s">
        <v>26</v>
      </c>
      <c r="E5" s="156" t="s">
        <v>327</v>
      </c>
      <c r="F5" s="155" t="s">
        <v>35</v>
      </c>
      <c r="G5" s="155" t="s">
        <v>36</v>
      </c>
      <c r="H5" s="155" t="s">
        <v>359</v>
      </c>
      <c r="I5" s="150" t="s">
        <v>37</v>
      </c>
      <c r="J5" s="150" t="s">
        <v>38</v>
      </c>
      <c r="K5" s="155" t="s">
        <v>360</v>
      </c>
      <c r="L5" s="150" t="s">
        <v>28</v>
      </c>
      <c r="M5" s="155" t="s">
        <v>361</v>
      </c>
      <c r="N5" s="150" t="s">
        <v>42</v>
      </c>
      <c r="O5" s="155" t="s">
        <v>43</v>
      </c>
      <c r="P5" s="155" t="s">
        <v>44</v>
      </c>
      <c r="Q5" s="155" t="s">
        <v>45</v>
      </c>
      <c r="R5" s="155" t="s">
        <v>46</v>
      </c>
      <c r="S5" s="156" t="s">
        <v>363</v>
      </c>
      <c r="T5" s="156" t="s">
        <v>364</v>
      </c>
      <c r="U5" s="156" t="s">
        <v>365</v>
      </c>
      <c r="V5" s="156" t="s">
        <v>366</v>
      </c>
      <c r="AI5" s="4"/>
      <c r="AJ5" s="4"/>
      <c r="AK5" s="4"/>
      <c r="AL5" s="4"/>
      <c r="AM5" s="4"/>
      <c r="AN5" s="4"/>
      <c r="AO5" s="4"/>
      <c r="AP5" s="4"/>
      <c r="AQ5" s="4"/>
      <c r="AR5" s="4"/>
      <c r="AS5" s="4"/>
      <c r="AT5" s="4"/>
      <c r="AU5" s="4"/>
      <c r="AV5" s="4"/>
      <c r="AW5" s="4"/>
    </row>
    <row r="6" spans="1:49" ht="82.5" x14ac:dyDescent="0.25">
      <c r="A6" s="151">
        <v>1</v>
      </c>
      <c r="B6" s="85" t="e">
        <f>Mapa_RSD!#REF!</f>
        <v>#REF!</v>
      </c>
      <c r="C6" s="136" t="str">
        <f>+R_S_Digital[[#This Row],[Código Riesgo]]</f>
        <v>ADQ-GC1</v>
      </c>
      <c r="D6" s="75" t="s">
        <v>373</v>
      </c>
      <c r="E6" s="141" t="str">
        <f>IF(C_S_Digital[[#This Row],[Responsable de ejecutar]]&lt;&gt;"",CONCATENATE(C_S_Digital[[#This Row],[Código riesgo]],"-",IF(C_S_Digital[[#This Row],[Código riesgo]]&lt;&gt;C5,1,RIGHT(E5,1)+1)),"")</f>
        <v>ADQ-GC1-1</v>
      </c>
      <c r="F6" s="142" t="s">
        <v>374</v>
      </c>
      <c r="G6" s="142" t="s">
        <v>375</v>
      </c>
      <c r="H6" s="142" t="s">
        <v>376</v>
      </c>
      <c r="I6" s="141" t="s">
        <v>64</v>
      </c>
      <c r="J6" s="141" t="s">
        <v>65</v>
      </c>
      <c r="K6" s="141"/>
      <c r="L6" s="141"/>
      <c r="M6" s="141"/>
      <c r="N6" s="141" t="s">
        <v>68</v>
      </c>
      <c r="O6" s="142" t="s">
        <v>377</v>
      </c>
      <c r="P6" s="142" t="s">
        <v>378</v>
      </c>
      <c r="Q6" s="145">
        <v>45292</v>
      </c>
      <c r="R6" s="145">
        <v>45535</v>
      </c>
      <c r="S6" s="137">
        <f>_xlfn.XLOOKUP(CONCATENATE(C_S_Digital[[#This Row],[Momento de ejecución]],C_S_Digital[[#This Row],[Forma de ejecución]]),C_Atributos,C_Peso,"",0)</f>
        <v>0.4</v>
      </c>
      <c r="T6" s="141" t="str">
        <f>IFERROR(_xlfn.XLOOKUP(C_S_Digital[[#This Row],[Momento de ejecución]],C_Momento,C_Efecto,,0),"")</f>
        <v>Probabilidad</v>
      </c>
      <c r="U6" s="143" t="str">
        <f>IFERROR(IF(C_S_Digital[[#This Row],[Código riesgo]]&lt;&gt;C5,_xlfn.XLOOKUP(C6,R_S_Digital[Código Riesgo],#REF!,,0)*IF(C_S_Digital[[#This Row],[Efecto]]="Probabilidad",1-C_S_Digital[[#This Row],[Peso]],1),IF(C_S_Digital[[#This Row],[Efecto]]="Probabilidad",U5*(1-C_S_Digital[[#This Row],[Peso]]),U5)),"")</f>
        <v/>
      </c>
      <c r="V6" s="144" t="str">
        <f>IFERROR(IF(C_S_Digital[[#This Row],[Código riesgo]]&lt;&gt;C5,_xlfn.XLOOKUP(C_S_Digital[[#This Row],[Código riesgo]],R_S_Digital[Código Riesgo],#REF!,,0)*IF(C_S_Digital[[#This Row],[Efecto]]="Impacto",1-C_S_Digital[[#This Row],[Peso]],1),IF(C_S_Digital[[#This Row],[Efecto]]="Impacto",V5*(1-C_S_Digital[[#This Row],[Peso]]),V5)),"")</f>
        <v/>
      </c>
    </row>
    <row r="7" spans="1:49" ht="33" x14ac:dyDescent="0.25">
      <c r="A7" s="3">
        <v>2</v>
      </c>
      <c r="B7" s="85" t="str">
        <f>Mapa_RSD!B6</f>
        <v>Adquisiciones</v>
      </c>
      <c r="C7" s="136" t="str">
        <f>+R_S_Digital[[#This Row],[Código Riesgo]]</f>
        <v>ASCP-MUS1</v>
      </c>
      <c r="D7" s="75"/>
      <c r="E7" s="141" t="str">
        <f>IF(C_S_Digital[[#This Row],[Responsable de ejecutar]]&lt;&gt;"",CONCATENATE(C_S_Digital[[#This Row],[Código riesgo]],"-",IF(C_S_Digital[[#This Row],[Código riesgo]]&lt;&gt;C6,1,RIGHT(E6,1)+1)),"")</f>
        <v>ASCP-MUS1-1</v>
      </c>
      <c r="F7" s="142" t="s">
        <v>57</v>
      </c>
      <c r="G7" s="142"/>
      <c r="H7" s="142"/>
      <c r="I7" s="141" t="s">
        <v>105</v>
      </c>
      <c r="J7" s="141" t="s">
        <v>65</v>
      </c>
      <c r="K7" s="141"/>
      <c r="L7" s="141"/>
      <c r="M7" s="141"/>
      <c r="N7" s="141"/>
      <c r="O7" s="142"/>
      <c r="P7" s="142"/>
      <c r="Q7" s="145"/>
      <c r="R7" s="145"/>
      <c r="S7" s="137">
        <f>_xlfn.XLOOKUP(CONCATENATE(C_S_Digital[[#This Row],[Momento de ejecución]],C_S_Digital[[#This Row],[Forma de ejecución]]),C_Atributos,C_Peso,"",0)</f>
        <v>0.25</v>
      </c>
      <c r="T7" s="141" t="str">
        <f>IFERROR(_xlfn.XLOOKUP(C_S_Digital[[#This Row],[Momento de ejecución]],C_Momento,C_Efecto,,0),"")</f>
        <v>Impacto</v>
      </c>
      <c r="U7" s="143" t="str">
        <f>IFERROR(IF(C_S_Digital[[#This Row],[Código riesgo]]&lt;&gt;C6,_xlfn.XLOOKUP(C7,R_S_Digital[Código Riesgo],#REF!,,0)*IF(C_S_Digital[[#This Row],[Efecto]]="Probabilidad",1-C_S_Digital[[#This Row],[Peso]],1),IF(C_S_Digital[[#This Row],[Efecto]]="Probabilidad",U6*(1-C_S_Digital[[#This Row],[Peso]]),U6)),"")</f>
        <v/>
      </c>
      <c r="V7" s="144" t="str">
        <f>IFERROR(IF(C_S_Digital[[#This Row],[Código riesgo]]&lt;&gt;C6,_xlfn.XLOOKUP(C_S_Digital[[#This Row],[Código riesgo]],R_S_Digital[Código Riesgo],#REF!,,0)*IF(C_S_Digital[[#This Row],[Efecto]]="Impacto",1-C_S_Digital[[#This Row],[Peso]],1),IF(C_S_Digital[[#This Row],[Efecto]]="Impacto",V6*(1-C_S_Digital[[#This Row],[Peso]]),V6)),"")</f>
        <v/>
      </c>
    </row>
    <row r="8" spans="1:49" ht="66" x14ac:dyDescent="0.25">
      <c r="A8" s="3">
        <v>3</v>
      </c>
      <c r="B8" s="85" t="str">
        <f>Mapa_RSD!B7</f>
        <v>Apropiación social del conocimiento y del patrimonio</v>
      </c>
      <c r="C8" s="136" t="str">
        <f>+R_S_Digital[[#This Row],[Código Riesgo]]</f>
        <v>ASCP-SE1</v>
      </c>
      <c r="D8" s="75"/>
      <c r="E8" s="141" t="str">
        <f>IF(C_S_Digital[[#This Row],[Responsable de ejecutar]]&lt;&gt;"",CONCATENATE(C_S_Digital[[#This Row],[Código riesgo]],"-",IF(C_S_Digital[[#This Row],[Código riesgo]]&lt;&gt;C7,1,RIGHT(E7,1)+1)),"")</f>
        <v/>
      </c>
      <c r="F8" s="142"/>
      <c r="G8" s="142"/>
      <c r="H8" s="142"/>
      <c r="I8" s="141" t="s">
        <v>105</v>
      </c>
      <c r="J8" s="141" t="s">
        <v>65</v>
      </c>
      <c r="K8" s="141"/>
      <c r="L8" s="141"/>
      <c r="M8" s="141"/>
      <c r="N8" s="141"/>
      <c r="O8" s="142"/>
      <c r="P8" s="142"/>
      <c r="Q8" s="145"/>
      <c r="R8" s="145"/>
      <c r="S8" s="137">
        <f>_xlfn.XLOOKUP(CONCATENATE(C_S_Digital[[#This Row],[Momento de ejecución]],C_S_Digital[[#This Row],[Forma de ejecución]]),C_Atributos,C_Peso,"",0)</f>
        <v>0.25</v>
      </c>
      <c r="T8" s="141" t="str">
        <f>IFERROR(_xlfn.XLOOKUP(C_S_Digital[[#This Row],[Momento de ejecución]],C_Momento,C_Efecto,,0),"")</f>
        <v>Impacto</v>
      </c>
      <c r="U8" s="143" t="str">
        <f>IFERROR(IF(C_S_Digital[[#This Row],[Código riesgo]]&lt;&gt;C7,_xlfn.XLOOKUP(C8,R_S_Digital[Código Riesgo],#REF!,,0)*IF(C_S_Digital[[#This Row],[Efecto]]="Probabilidad",1-C_S_Digital[[#This Row],[Peso]],1),IF(C_S_Digital[[#This Row],[Efecto]]="Probabilidad",U7*(1-C_S_Digital[[#This Row],[Peso]]),U7)),"")</f>
        <v/>
      </c>
      <c r="V8" s="144" t="str">
        <f>IFERROR(IF(C_S_Digital[[#This Row],[Código riesgo]]&lt;&gt;C7,_xlfn.XLOOKUP(C_S_Digital[[#This Row],[Código riesgo]],R_S_Digital[Código Riesgo],#REF!,,0)*IF(C_S_Digital[[#This Row],[Efecto]]="Impacto",1-C_S_Digital[[#This Row],[Peso]],1),IF(C_S_Digital[[#This Row],[Efecto]]="Impacto",V7*(1-C_S_Digital[[#This Row],[Peso]]),V7)),"")</f>
        <v/>
      </c>
    </row>
    <row r="9" spans="1:49" ht="66" x14ac:dyDescent="0.25">
      <c r="A9" s="3">
        <v>4</v>
      </c>
      <c r="B9" s="85" t="str">
        <f>Mapa_RSD!B8</f>
        <v>Apropiación social del conocimiento y del patrimonio</v>
      </c>
      <c r="C9" s="136" t="str">
        <f>+R_S_Digital[[#This Row],[Código Riesgo]]</f>
        <v>ASCP-SE2</v>
      </c>
      <c r="D9" s="75"/>
      <c r="E9" s="141" t="str">
        <f>IF(C_S_Digital[[#This Row],[Responsable de ejecutar]]&lt;&gt;"",CONCATENATE(C_S_Digital[[#This Row],[Código riesgo]],"-",IF(C_S_Digital[[#This Row],[Código riesgo]]&lt;&gt;C8,1,RIGHT(E8,1)+1)),"")</f>
        <v/>
      </c>
      <c r="F9" s="142"/>
      <c r="G9" s="142"/>
      <c r="H9" s="142"/>
      <c r="I9" s="141" t="s">
        <v>105</v>
      </c>
      <c r="J9" s="141" t="s">
        <v>65</v>
      </c>
      <c r="K9" s="141"/>
      <c r="L9" s="141"/>
      <c r="M9" s="141"/>
      <c r="N9" s="141"/>
      <c r="O9" s="142"/>
      <c r="P9" s="142"/>
      <c r="Q9" s="145"/>
      <c r="R9" s="145"/>
      <c r="S9" s="137">
        <f>_xlfn.XLOOKUP(CONCATENATE(C_S_Digital[[#This Row],[Momento de ejecución]],C_S_Digital[[#This Row],[Forma de ejecución]]),C_Atributos,C_Peso,"",0)</f>
        <v>0.25</v>
      </c>
      <c r="T9" s="141" t="str">
        <f>IFERROR(_xlfn.XLOOKUP(C_S_Digital[[#This Row],[Momento de ejecución]],C_Momento,C_Efecto,,0),"")</f>
        <v>Impacto</v>
      </c>
      <c r="U9" s="143" t="str">
        <f>IFERROR(IF(C_S_Digital[[#This Row],[Código riesgo]]&lt;&gt;C8,_xlfn.XLOOKUP(C9,R_S_Digital[Código Riesgo],#REF!,,0)*IF(C_S_Digital[[#This Row],[Efecto]]="Probabilidad",1-C_S_Digital[[#This Row],[Peso]],1),IF(C_S_Digital[[#This Row],[Efecto]]="Probabilidad",U8*(1-C_S_Digital[[#This Row],[Peso]]),U8)),"")</f>
        <v/>
      </c>
      <c r="V9" s="144" t="str">
        <f>IFERROR(IF(C_S_Digital[[#This Row],[Código riesgo]]&lt;&gt;C8,_xlfn.XLOOKUP(C_S_Digital[[#This Row],[Código riesgo]],R_S_Digital[Código Riesgo],#REF!,,0)*IF(C_S_Digital[[#This Row],[Efecto]]="Impacto",1-C_S_Digital[[#This Row],[Peso]],1),IF(C_S_Digital[[#This Row],[Efecto]]="Impacto",V8*(1-C_S_Digital[[#This Row],[Peso]]),V8)),"")</f>
        <v/>
      </c>
    </row>
    <row r="10" spans="1:49" ht="66" x14ac:dyDescent="0.25">
      <c r="A10" s="3">
        <v>5</v>
      </c>
      <c r="B10" s="85" t="str">
        <f>Mapa_RSD!B9</f>
        <v>Apropiación social del conocimiento y del patrimonio</v>
      </c>
      <c r="C10" s="136" t="str">
        <f>+R_S_Digital[[#This Row],[Código Riesgo]]</f>
        <v>ASCP-SE3</v>
      </c>
      <c r="D10" s="75"/>
      <c r="E10" s="141" t="str">
        <f>IF(C_S_Digital[[#This Row],[Responsable de ejecutar]]&lt;&gt;"",CONCATENATE(C_S_Digital[[#This Row],[Código riesgo]],"-",IF(C_S_Digital[[#This Row],[Código riesgo]]&lt;&gt;C9,1,RIGHT(E9,1)+1)),"")</f>
        <v/>
      </c>
      <c r="F10" s="142"/>
      <c r="G10" s="142"/>
      <c r="H10" s="142"/>
      <c r="I10" s="141" t="s">
        <v>105</v>
      </c>
      <c r="J10" s="141" t="s">
        <v>65</v>
      </c>
      <c r="K10" s="141"/>
      <c r="L10" s="141"/>
      <c r="M10" s="141"/>
      <c r="N10" s="141"/>
      <c r="O10" s="142"/>
      <c r="P10" s="142"/>
      <c r="Q10" s="145"/>
      <c r="R10" s="145"/>
      <c r="S10" s="137">
        <f>_xlfn.XLOOKUP(CONCATENATE(C_S_Digital[[#This Row],[Momento de ejecución]],C_S_Digital[[#This Row],[Forma de ejecución]]),C_Atributos,C_Peso,"",0)</f>
        <v>0.25</v>
      </c>
      <c r="T10" s="141" t="str">
        <f>IFERROR(_xlfn.XLOOKUP(C_S_Digital[[#This Row],[Momento de ejecución]],C_Momento,C_Efecto,,0),"")</f>
        <v>Impacto</v>
      </c>
      <c r="U10" s="143" t="str">
        <f>IFERROR(IF(C_S_Digital[[#This Row],[Código riesgo]]&lt;&gt;C9,_xlfn.XLOOKUP(C10,R_S_Digital[Código Riesgo],#REF!,,0)*IF(C_S_Digital[[#This Row],[Efecto]]="Probabilidad",1-C_S_Digital[[#This Row],[Peso]],1),IF(C_S_Digital[[#This Row],[Efecto]]="Probabilidad",U9*(1-C_S_Digital[[#This Row],[Peso]]),U9)),"")</f>
        <v/>
      </c>
      <c r="V10" s="144" t="str">
        <f>IFERROR(IF(C_S_Digital[[#This Row],[Código riesgo]]&lt;&gt;C9,_xlfn.XLOOKUP(C_S_Digital[[#This Row],[Código riesgo]],R_S_Digital[Código Riesgo],#REF!,,0)*IF(C_S_Digital[[#This Row],[Efecto]]="Impacto",1-C_S_Digital[[#This Row],[Peso]],1),IF(C_S_Digital[[#This Row],[Efecto]]="Impacto",V9*(1-C_S_Digital[[#This Row],[Peso]]),V9)),"")</f>
        <v/>
      </c>
    </row>
    <row r="11" spans="1:49" ht="66" x14ac:dyDescent="0.25">
      <c r="A11" s="3">
        <v>6</v>
      </c>
      <c r="B11" s="85" t="str">
        <f>Mapa_RSD!B10</f>
        <v>Apropiación social del conocimiento y del patrimonio</v>
      </c>
      <c r="C11" s="136" t="str">
        <f>+R_S_Digital[[#This Row],[Código Riesgo]]</f>
        <v>ASCP-SE4</v>
      </c>
      <c r="D11" s="75"/>
      <c r="E11" s="141" t="str">
        <f>IF(C_S_Digital[[#This Row],[Responsable de ejecutar]]&lt;&gt;"",CONCATENATE(C_S_Digital[[#This Row],[Código riesgo]],"-",IF(C_S_Digital[[#This Row],[Código riesgo]]&lt;&gt;C10,1,RIGHT(E10,1)+1)),"")</f>
        <v/>
      </c>
      <c r="F11" s="142"/>
      <c r="G11" s="142"/>
      <c r="H11" s="142"/>
      <c r="I11" s="141" t="s">
        <v>105</v>
      </c>
      <c r="J11" s="141" t="s">
        <v>65</v>
      </c>
      <c r="K11" s="141"/>
      <c r="L11" s="141"/>
      <c r="M11" s="141"/>
      <c r="N11" s="141"/>
      <c r="O11" s="142"/>
      <c r="P11" s="142"/>
      <c r="Q11" s="145"/>
      <c r="R11" s="145"/>
      <c r="S11" s="137">
        <f>_xlfn.XLOOKUP(CONCATENATE(C_S_Digital[[#This Row],[Momento de ejecución]],C_S_Digital[[#This Row],[Forma de ejecución]]),C_Atributos,C_Peso,"",0)</f>
        <v>0.25</v>
      </c>
      <c r="T11" s="141" t="str">
        <f>IFERROR(_xlfn.XLOOKUP(C_S_Digital[[#This Row],[Momento de ejecución]],C_Momento,C_Efecto,,0),"")</f>
        <v>Impacto</v>
      </c>
      <c r="U11" s="143" t="str">
        <f>IFERROR(IF(C_S_Digital[[#This Row],[Código riesgo]]&lt;&gt;C10,_xlfn.XLOOKUP(C11,R_S_Digital[Código Riesgo],#REF!,,0)*IF(C_S_Digital[[#This Row],[Efecto]]="Probabilidad",1-C_S_Digital[[#This Row],[Peso]],1),IF(C_S_Digital[[#This Row],[Efecto]]="Probabilidad",U10*(1-C_S_Digital[[#This Row],[Peso]]),U10)),"")</f>
        <v/>
      </c>
      <c r="V11" s="144" t="str">
        <f>IFERROR(IF(C_S_Digital[[#This Row],[Código riesgo]]&lt;&gt;C10,_xlfn.XLOOKUP(C_S_Digital[[#This Row],[Código riesgo]],R_S_Digital[Código Riesgo],#REF!,,0)*IF(C_S_Digital[[#This Row],[Efecto]]="Impacto",1-C_S_Digital[[#This Row],[Peso]],1),IF(C_S_Digital[[#This Row],[Efecto]]="Impacto",V10*(1-C_S_Digital[[#This Row],[Peso]]),V10)),"")</f>
        <v/>
      </c>
    </row>
    <row r="12" spans="1:49" ht="66" x14ac:dyDescent="0.25">
      <c r="A12" s="3">
        <v>7</v>
      </c>
      <c r="B12" s="85" t="str">
        <f>Mapa_RSD!B11</f>
        <v>Apropiación social del conocimiento y del patrimonio</v>
      </c>
      <c r="C12" s="136" t="str">
        <f>+R_S_Digital[[#This Row],[Código Riesgo]]</f>
        <v>CD-CDI1</v>
      </c>
      <c r="D12" s="75" t="s">
        <v>57</v>
      </c>
      <c r="E12" s="141" t="str">
        <f>IF(C_S_Digital[[#This Row],[Responsable de ejecutar]]&lt;&gt;"",CONCATENATE(C_S_Digital[[#This Row],[Código riesgo]],"-",IF(C_S_Digital[[#This Row],[Código riesgo]]&lt;&gt;C11,1,RIGHT(E11,1)+1)),"")</f>
        <v/>
      </c>
      <c r="F12" s="142"/>
      <c r="G12" s="142"/>
      <c r="H12" s="142"/>
      <c r="I12" s="141" t="s">
        <v>105</v>
      </c>
      <c r="J12" s="141" t="s">
        <v>65</v>
      </c>
      <c r="K12" s="141"/>
      <c r="L12" s="141"/>
      <c r="M12" s="141"/>
      <c r="N12" s="141"/>
      <c r="O12" s="142"/>
      <c r="P12" s="142"/>
      <c r="Q12" s="145"/>
      <c r="R12" s="145"/>
      <c r="S12" s="137">
        <f>_xlfn.XLOOKUP(CONCATENATE(C_S_Digital[[#This Row],[Momento de ejecución]],C_S_Digital[[#This Row],[Forma de ejecución]]),C_Atributos,C_Peso,"",0)</f>
        <v>0.25</v>
      </c>
      <c r="T12" s="141" t="str">
        <f>IFERROR(_xlfn.XLOOKUP(C_S_Digital[[#This Row],[Momento de ejecución]],C_Momento,C_Efecto,,0),"")</f>
        <v>Impacto</v>
      </c>
      <c r="U12" s="143" t="str">
        <f>IFERROR(IF(C_S_Digital[[#This Row],[Código riesgo]]&lt;&gt;C11,_xlfn.XLOOKUP(C12,R_S_Digital[Código Riesgo],#REF!,,0)*IF(C_S_Digital[[#This Row],[Efecto]]="Probabilidad",1-C_S_Digital[[#This Row],[Peso]],1),IF(C_S_Digital[[#This Row],[Efecto]]="Probabilidad",U11*(1-C_S_Digital[[#This Row],[Peso]]),U11)),"")</f>
        <v/>
      </c>
      <c r="V12" s="144" t="str">
        <f>IFERROR(IF(C_S_Digital[[#This Row],[Código riesgo]]&lt;&gt;C11,_xlfn.XLOOKUP(C_S_Digital[[#This Row],[Código riesgo]],R_S_Digital[Código Riesgo],#REF!,,0)*IF(C_S_Digital[[#This Row],[Efecto]]="Impacto",1-C_S_Digital[[#This Row],[Peso]],1),IF(C_S_Digital[[#This Row],[Efecto]]="Impacto",V11*(1-C_S_Digital[[#This Row],[Peso]]),V11)),"")</f>
        <v/>
      </c>
    </row>
    <row r="13" spans="1:49" ht="33" x14ac:dyDescent="0.25">
      <c r="A13" s="3">
        <v>8</v>
      </c>
      <c r="B13" s="85" t="str">
        <f>Mapa_RSD!B12</f>
        <v>Control Disciplinario</v>
      </c>
      <c r="C13" s="136" t="str">
        <f>+R_S_Digital[[#This Row],[Código Riesgo]]</f>
        <v>CP-GF1</v>
      </c>
      <c r="D13" s="75"/>
      <c r="E13" s="141" t="str">
        <f>IF(C_S_Digital[[#This Row],[Responsable de ejecutar]]&lt;&gt;"",CONCATENATE(C_S_Digital[[#This Row],[Código riesgo]],"-",IF(C_S_Digital[[#This Row],[Código riesgo]]&lt;&gt;C12,1,RIGHT(E12,1)+1)),"")</f>
        <v/>
      </c>
      <c r="F13" s="142"/>
      <c r="G13" s="142"/>
      <c r="H13" s="142"/>
      <c r="I13" s="141" t="s">
        <v>105</v>
      </c>
      <c r="J13" s="141" t="s">
        <v>65</v>
      </c>
      <c r="K13" s="141"/>
      <c r="L13" s="141"/>
      <c r="M13" s="141"/>
      <c r="N13" s="141"/>
      <c r="O13" s="142"/>
      <c r="P13" s="142"/>
      <c r="Q13" s="145"/>
      <c r="R13" s="145"/>
      <c r="S13" s="137">
        <f>_xlfn.XLOOKUP(CONCATENATE(C_S_Digital[[#This Row],[Momento de ejecución]],C_S_Digital[[#This Row],[Forma de ejecución]]),C_Atributos,C_Peso,"",0)</f>
        <v>0.25</v>
      </c>
      <c r="T13" s="141" t="str">
        <f>IFERROR(_xlfn.XLOOKUP(C_S_Digital[[#This Row],[Momento de ejecución]],C_Momento,C_Efecto,,0),"")</f>
        <v>Impacto</v>
      </c>
      <c r="U13" s="143" t="str">
        <f>IFERROR(IF(C_S_Digital[[#This Row],[Código riesgo]]&lt;&gt;C12,_xlfn.XLOOKUP(C13,R_S_Digital[Código Riesgo],#REF!,,0)*IF(C_S_Digital[[#This Row],[Efecto]]="Probabilidad",1-C_S_Digital[[#This Row],[Peso]],1),IF(C_S_Digital[[#This Row],[Efecto]]="Probabilidad",U12*(1-C_S_Digital[[#This Row],[Peso]]),U12)),"")</f>
        <v/>
      </c>
      <c r="V13" s="144" t="str">
        <f>IFERROR(IF(C_S_Digital[[#This Row],[Código riesgo]]&lt;&gt;C12,_xlfn.XLOOKUP(C_S_Digital[[#This Row],[Código riesgo]],R_S_Digital[Código Riesgo],#REF!,,0)*IF(C_S_Digital[[#This Row],[Efecto]]="Impacto",1-C_S_Digital[[#This Row],[Peso]],1),IF(C_S_Digital[[#This Row],[Efecto]]="Impacto",V12*(1-C_S_Digital[[#This Row],[Peso]]),V12)),"")</f>
        <v/>
      </c>
    </row>
    <row r="14" spans="1:49" ht="33" x14ac:dyDescent="0.25">
      <c r="A14" s="3">
        <v>9</v>
      </c>
      <c r="B14" s="85" t="str">
        <f>Mapa_RSD!B13</f>
        <v>Contabilidad y presupuesto</v>
      </c>
      <c r="C14" s="136" t="str">
        <f>+R_S_Digital[[#This Row],[Código Riesgo]]</f>
        <v>CP-GF2</v>
      </c>
      <c r="D14" s="75"/>
      <c r="E14" s="141" t="str">
        <f>IF(C_S_Digital[[#This Row],[Responsable de ejecutar]]&lt;&gt;"",CONCATENATE(C_S_Digital[[#This Row],[Código riesgo]],"-",IF(C_S_Digital[[#This Row],[Código riesgo]]&lt;&gt;C13,1,RIGHT(E13,1)+1)),"")</f>
        <v/>
      </c>
      <c r="F14" s="142"/>
      <c r="G14" s="142"/>
      <c r="H14" s="142"/>
      <c r="I14" s="141" t="s">
        <v>105</v>
      </c>
      <c r="J14" s="141" t="s">
        <v>65</v>
      </c>
      <c r="K14" s="141"/>
      <c r="L14" s="141"/>
      <c r="M14" s="141"/>
      <c r="N14" s="141"/>
      <c r="O14" s="142"/>
      <c r="P14" s="142"/>
      <c r="Q14" s="145"/>
      <c r="R14" s="145"/>
      <c r="S14" s="137">
        <f>_xlfn.XLOOKUP(CONCATENATE(C_S_Digital[[#This Row],[Momento de ejecución]],C_S_Digital[[#This Row],[Forma de ejecución]]),C_Atributos,C_Peso,"",0)</f>
        <v>0.25</v>
      </c>
      <c r="T14" s="141" t="str">
        <f>IFERROR(_xlfn.XLOOKUP(C_S_Digital[[#This Row],[Momento de ejecución]],C_Momento,C_Efecto,,0),"")</f>
        <v>Impacto</v>
      </c>
      <c r="U14" s="143" t="str">
        <f>IFERROR(IF(C_S_Digital[[#This Row],[Código riesgo]]&lt;&gt;C13,_xlfn.XLOOKUP(C14,R_S_Digital[Código Riesgo],#REF!,,0)*IF(C_S_Digital[[#This Row],[Efecto]]="Probabilidad",1-C_S_Digital[[#This Row],[Peso]],1),IF(C_S_Digital[[#This Row],[Efecto]]="Probabilidad",U13*(1-C_S_Digital[[#This Row],[Peso]]),U13)),"")</f>
        <v/>
      </c>
      <c r="V14" s="144" t="str">
        <f>IFERROR(IF(C_S_Digital[[#This Row],[Código riesgo]]&lt;&gt;C13,_xlfn.XLOOKUP(C_S_Digital[[#This Row],[Código riesgo]],R_S_Digital[Código Riesgo],#REF!,,0)*IF(C_S_Digital[[#This Row],[Efecto]]="Impacto",1-C_S_Digital[[#This Row],[Peso]],1),IF(C_S_Digital[[#This Row],[Efecto]]="Impacto",V13*(1-C_S_Digital[[#This Row],[Peso]]),V13)),"")</f>
        <v/>
      </c>
    </row>
    <row r="15" spans="1:49" ht="33" x14ac:dyDescent="0.25">
      <c r="A15" s="3">
        <v>10</v>
      </c>
      <c r="B15" s="85" t="str">
        <f>Mapa_RSD!B14</f>
        <v>Contabilidad y presupuesto</v>
      </c>
      <c r="C15" s="136" t="str">
        <f>+R_S_Digital[[#This Row],[Código Riesgo]]</f>
        <v>CP-GF3</v>
      </c>
      <c r="D15" s="75"/>
      <c r="E15" s="141" t="str">
        <f>IF(C_S_Digital[[#This Row],[Responsable de ejecutar]]&lt;&gt;"",CONCATENATE(C_S_Digital[[#This Row],[Código riesgo]],"-",IF(C_S_Digital[[#This Row],[Código riesgo]]&lt;&gt;C14,1,RIGHT(E14,1)+1)),"")</f>
        <v/>
      </c>
      <c r="F15" s="142"/>
      <c r="G15" s="142"/>
      <c r="H15" s="142"/>
      <c r="I15" s="141" t="s">
        <v>105</v>
      </c>
      <c r="J15" s="141" t="s">
        <v>65</v>
      </c>
      <c r="K15" s="141"/>
      <c r="L15" s="141"/>
      <c r="M15" s="141"/>
      <c r="N15" s="141"/>
      <c r="O15" s="142"/>
      <c r="P15" s="142"/>
      <c r="Q15" s="145"/>
      <c r="R15" s="145"/>
      <c r="S15" s="137">
        <f>_xlfn.XLOOKUP(CONCATENATE(C_S_Digital[[#This Row],[Momento de ejecución]],C_S_Digital[[#This Row],[Forma de ejecución]]),C_Atributos,C_Peso,"",0)</f>
        <v>0.25</v>
      </c>
      <c r="T15" s="141" t="str">
        <f>IFERROR(_xlfn.XLOOKUP(C_S_Digital[[#This Row],[Momento de ejecución]],C_Momento,C_Efecto,,0),"")</f>
        <v>Impacto</v>
      </c>
      <c r="U15" s="143" t="str">
        <f>IFERROR(IF(C_S_Digital[[#This Row],[Código riesgo]]&lt;&gt;C14,_xlfn.XLOOKUP(C15,R_S_Digital[Código Riesgo],#REF!,,0)*IF(C_S_Digital[[#This Row],[Efecto]]="Probabilidad",1-C_S_Digital[[#This Row],[Peso]],1),IF(C_S_Digital[[#This Row],[Efecto]]="Probabilidad",U14*(1-C_S_Digital[[#This Row],[Peso]]),U14)),"")</f>
        <v/>
      </c>
      <c r="V15" s="144" t="str">
        <f>IFERROR(IF(C_S_Digital[[#This Row],[Código riesgo]]&lt;&gt;C14,_xlfn.XLOOKUP(C_S_Digital[[#This Row],[Código riesgo]],R_S_Digital[Código Riesgo],#REF!,,0)*IF(C_S_Digital[[#This Row],[Efecto]]="Impacto",1-C_S_Digital[[#This Row],[Peso]],1),IF(C_S_Digital[[#This Row],[Efecto]]="Impacto",V14*(1-C_S_Digital[[#This Row],[Peso]]),V14)),"")</f>
        <v/>
      </c>
    </row>
    <row r="16" spans="1:49" ht="33" x14ac:dyDescent="0.25">
      <c r="A16" s="3">
        <v>11</v>
      </c>
      <c r="B16" s="85" t="str">
        <f>Mapa_RSD!B15</f>
        <v>Contabilidad y presupuesto</v>
      </c>
      <c r="C16" s="136" t="str">
        <f>+R_S_Digital[[#This Row],[Código Riesgo]]</f>
        <v>DIR-DG1</v>
      </c>
      <c r="D16" s="75"/>
      <c r="E16" s="141" t="str">
        <f>IF(C_S_Digital[[#This Row],[Responsable de ejecutar]]&lt;&gt;"",CONCATENATE(C_S_Digital[[#This Row],[Código riesgo]],"-",IF(C_S_Digital[[#This Row],[Código riesgo]]&lt;&gt;C15,1,RIGHT(E15,1)+1)),"")</f>
        <v/>
      </c>
      <c r="F16" s="142"/>
      <c r="G16" s="142"/>
      <c r="H16" s="142"/>
      <c r="I16" s="141" t="s">
        <v>105</v>
      </c>
      <c r="J16" s="141" t="s">
        <v>65</v>
      </c>
      <c r="K16" s="141"/>
      <c r="L16" s="141"/>
      <c r="M16" s="141"/>
      <c r="N16" s="141"/>
      <c r="O16" s="142"/>
      <c r="P16" s="142"/>
      <c r="Q16" s="145"/>
      <c r="R16" s="145"/>
      <c r="S16" s="137">
        <f>_xlfn.XLOOKUP(CONCATENATE(C_S_Digital[[#This Row],[Momento de ejecución]],C_S_Digital[[#This Row],[Forma de ejecución]]),C_Atributos,C_Peso,"",0)</f>
        <v>0.25</v>
      </c>
      <c r="T16" s="141" t="str">
        <f>IFERROR(_xlfn.XLOOKUP(C_S_Digital[[#This Row],[Momento de ejecución]],C_Momento,C_Efecto,,0),"")</f>
        <v>Impacto</v>
      </c>
      <c r="U16" s="143" t="str">
        <f>IFERROR(IF(C_S_Digital[[#This Row],[Código riesgo]]&lt;&gt;C15,_xlfn.XLOOKUP(C16,R_S_Digital[Código Riesgo],#REF!,,0)*IF(C_S_Digital[[#This Row],[Efecto]]="Probabilidad",1-C_S_Digital[[#This Row],[Peso]],1),IF(C_S_Digital[[#This Row],[Efecto]]="Probabilidad",U15*(1-C_S_Digital[[#This Row],[Peso]]),U15)),"")</f>
        <v/>
      </c>
      <c r="V16" s="144" t="str">
        <f>IFERROR(IF(C_S_Digital[[#This Row],[Código riesgo]]&lt;&gt;C15,_xlfn.XLOOKUP(C_S_Digital[[#This Row],[Código riesgo]],R_S_Digital[Código Riesgo],#REF!,,0)*IF(C_S_Digital[[#This Row],[Efecto]]="Impacto",1-C_S_Digital[[#This Row],[Peso]],1),IF(C_S_Digital[[#This Row],[Efecto]]="Impacto",V15*(1-C_S_Digital[[#This Row],[Peso]]),V15)),"")</f>
        <v/>
      </c>
    </row>
    <row r="17" spans="1:22" ht="33" x14ac:dyDescent="0.25">
      <c r="A17" s="3">
        <v>12</v>
      </c>
      <c r="B17" s="85" t="str">
        <f>Mapa_RSD!B16</f>
        <v>Direccionamiento estratégico</v>
      </c>
      <c r="C17" s="136" t="str">
        <f>+R_S_Digital[[#This Row],[Código Riesgo]]</f>
        <v>DIR-GP1</v>
      </c>
      <c r="D17" s="75"/>
      <c r="E17" s="141" t="str">
        <f>IF(C_S_Digital[[#This Row],[Responsable de ejecutar]]&lt;&gt;"",CONCATENATE(C_S_Digital[[#This Row],[Código riesgo]],"-",IF(C_S_Digital[[#This Row],[Código riesgo]]&lt;&gt;C16,1,RIGHT(E16,1)+1)),"")</f>
        <v/>
      </c>
      <c r="F17" s="142"/>
      <c r="G17" s="142"/>
      <c r="H17" s="142"/>
      <c r="I17" s="141" t="s">
        <v>105</v>
      </c>
      <c r="J17" s="141" t="s">
        <v>65</v>
      </c>
      <c r="K17" s="141"/>
      <c r="L17" s="141"/>
      <c r="M17" s="141"/>
      <c r="N17" s="141"/>
      <c r="O17" s="142"/>
      <c r="P17" s="142"/>
      <c r="Q17" s="145"/>
      <c r="R17" s="145"/>
      <c r="S17" s="137">
        <f>_xlfn.XLOOKUP(CONCATENATE(C_S_Digital[[#This Row],[Momento de ejecución]],C_S_Digital[[#This Row],[Forma de ejecución]]),C_Atributos,C_Peso,"",0)</f>
        <v>0.25</v>
      </c>
      <c r="T17" s="141" t="str">
        <f>IFERROR(_xlfn.XLOOKUP(C_S_Digital[[#This Row],[Momento de ejecución]],C_Momento,C_Efecto,,0),"")</f>
        <v>Impacto</v>
      </c>
      <c r="U17" s="143" t="str">
        <f>IFERROR(IF(C_S_Digital[[#This Row],[Código riesgo]]&lt;&gt;C16,_xlfn.XLOOKUP(C17,R_S_Digital[Código Riesgo],#REF!,,0)*IF(C_S_Digital[[#This Row],[Efecto]]="Probabilidad",1-C_S_Digital[[#This Row],[Peso]],1),IF(C_S_Digital[[#This Row],[Efecto]]="Probabilidad",U16*(1-C_S_Digital[[#This Row],[Peso]]),U16)),"")</f>
        <v/>
      </c>
      <c r="V17" s="144" t="str">
        <f>IFERROR(IF(C_S_Digital[[#This Row],[Código riesgo]]&lt;&gt;C16,_xlfn.XLOOKUP(C_S_Digital[[#This Row],[Código riesgo]],R_S_Digital[Código Riesgo],#REF!,,0)*IF(C_S_Digital[[#This Row],[Efecto]]="Impacto",1-C_S_Digital[[#This Row],[Peso]],1),IF(C_S_Digital[[#This Row],[Efecto]]="Impacto",V16*(1-C_S_Digital[[#This Row],[Peso]]),V16)),"")</f>
        <v/>
      </c>
    </row>
    <row r="18" spans="1:22" ht="33" x14ac:dyDescent="0.25">
      <c r="A18" s="3">
        <v>13</v>
      </c>
      <c r="B18" s="85" t="str">
        <f>Mapa_RSD!B17</f>
        <v>Direccionamiento estratégico</v>
      </c>
      <c r="C18" s="136" t="str">
        <f>+R_S_Digital[[#This Row],[Código Riesgo]]</f>
        <v>DIR-SAF1</v>
      </c>
      <c r="D18" s="75"/>
      <c r="E18" s="141" t="str">
        <f>IF(C_S_Digital[[#This Row],[Responsable de ejecutar]]&lt;&gt;"",CONCATENATE(C_S_Digital[[#This Row],[Código riesgo]],"-",IF(C_S_Digital[[#This Row],[Código riesgo]]&lt;&gt;C17,1,RIGHT(E17,1)+1)),"")</f>
        <v/>
      </c>
      <c r="F18" s="142"/>
      <c r="G18" s="142"/>
      <c r="H18" s="142"/>
      <c r="I18" s="141" t="s">
        <v>105</v>
      </c>
      <c r="J18" s="141" t="s">
        <v>65</v>
      </c>
      <c r="K18" s="141"/>
      <c r="L18" s="141"/>
      <c r="M18" s="141"/>
      <c r="N18" s="141"/>
      <c r="O18" s="142"/>
      <c r="P18" s="142"/>
      <c r="Q18" s="145"/>
      <c r="R18" s="145"/>
      <c r="S18" s="137">
        <f>_xlfn.XLOOKUP(CONCATENATE(C_S_Digital[[#This Row],[Momento de ejecución]],C_S_Digital[[#This Row],[Forma de ejecución]]),C_Atributos,C_Peso,"",0)</f>
        <v>0.25</v>
      </c>
      <c r="T18" s="141" t="str">
        <f>IFERROR(_xlfn.XLOOKUP(C_S_Digital[[#This Row],[Momento de ejecución]],C_Momento,C_Efecto,,0),"")</f>
        <v>Impacto</v>
      </c>
      <c r="U18" s="143" t="str">
        <f>IFERROR(IF(C_S_Digital[[#This Row],[Código riesgo]]&lt;&gt;C17,_xlfn.XLOOKUP(C18,R_S_Digital[Código Riesgo],#REF!,,0)*IF(C_S_Digital[[#This Row],[Efecto]]="Probabilidad",1-C_S_Digital[[#This Row],[Peso]],1),IF(C_S_Digital[[#This Row],[Efecto]]="Probabilidad",U17*(1-C_S_Digital[[#This Row],[Peso]]),U17)),"")</f>
        <v/>
      </c>
      <c r="V18" s="144" t="str">
        <f>IFERROR(IF(C_S_Digital[[#This Row],[Código riesgo]]&lt;&gt;C17,_xlfn.XLOOKUP(C_S_Digital[[#This Row],[Código riesgo]],R_S_Digital[Código Riesgo],#REF!,,0)*IF(C_S_Digital[[#This Row],[Efecto]]="Impacto",1-C_S_Digital[[#This Row],[Peso]],1),IF(C_S_Digital[[#This Row],[Efecto]]="Impacto",V17*(1-C_S_Digital[[#This Row],[Peso]]),V17)),"")</f>
        <v/>
      </c>
    </row>
    <row r="19" spans="1:22" ht="33" x14ac:dyDescent="0.25">
      <c r="A19" s="3">
        <v>14</v>
      </c>
      <c r="B19" s="85" t="str">
        <f>Mapa_RSD!B18</f>
        <v>Direccionamiento estratégico</v>
      </c>
      <c r="C19" s="136" t="str">
        <f>+R_S_Digital[[#This Row],[Código Riesgo]]</f>
        <v>DIR-SAF2</v>
      </c>
      <c r="D19" s="75"/>
      <c r="E19" s="141" t="str">
        <f>IF(C_S_Digital[[#This Row],[Responsable de ejecutar]]&lt;&gt;"",CONCATENATE(C_S_Digital[[#This Row],[Código riesgo]],"-",IF(C_S_Digital[[#This Row],[Código riesgo]]&lt;&gt;C18,1,RIGHT(E18,1)+1)),"")</f>
        <v/>
      </c>
      <c r="F19" s="142"/>
      <c r="G19" s="142"/>
      <c r="H19" s="142"/>
      <c r="I19" s="141" t="s">
        <v>105</v>
      </c>
      <c r="J19" s="141" t="s">
        <v>65</v>
      </c>
      <c r="K19" s="141"/>
      <c r="L19" s="141"/>
      <c r="M19" s="141"/>
      <c r="N19" s="141"/>
      <c r="O19" s="142"/>
      <c r="P19" s="142"/>
      <c r="Q19" s="145"/>
      <c r="R19" s="145"/>
      <c r="S19" s="137">
        <f>_xlfn.XLOOKUP(CONCATENATE(C_S_Digital[[#This Row],[Momento de ejecución]],C_S_Digital[[#This Row],[Forma de ejecución]]),C_Atributos,C_Peso,"",0)</f>
        <v>0.25</v>
      </c>
      <c r="T19" s="141" t="str">
        <f>IFERROR(_xlfn.XLOOKUP(C_S_Digital[[#This Row],[Momento de ejecución]],C_Momento,C_Efecto,,0),"")</f>
        <v>Impacto</v>
      </c>
      <c r="U19" s="143" t="str">
        <f>IFERROR(IF(C_S_Digital[[#This Row],[Código riesgo]]&lt;&gt;C18,_xlfn.XLOOKUP(C19,R_S_Digital[Código Riesgo],#REF!,,0)*IF(C_S_Digital[[#This Row],[Efecto]]="Probabilidad",1-C_S_Digital[[#This Row],[Peso]],1),IF(C_S_Digital[[#This Row],[Efecto]]="Probabilidad",U18*(1-C_S_Digital[[#This Row],[Peso]]),U18)),"")</f>
        <v/>
      </c>
      <c r="V19" s="144" t="str">
        <f>IFERROR(IF(C_S_Digital[[#This Row],[Código riesgo]]&lt;&gt;C18,_xlfn.XLOOKUP(C_S_Digital[[#This Row],[Código riesgo]],R_S_Digital[Código Riesgo],#REF!,,0)*IF(C_S_Digital[[#This Row],[Efecto]]="Impacto",1-C_S_Digital[[#This Row],[Peso]],1),IF(C_S_Digital[[#This Row],[Efecto]]="Impacto",V18*(1-C_S_Digital[[#This Row],[Peso]]),V18)),"")</f>
        <v/>
      </c>
    </row>
    <row r="20" spans="1:22" ht="33" x14ac:dyDescent="0.25">
      <c r="A20" s="3">
        <v>15</v>
      </c>
      <c r="B20" s="85" t="str">
        <f>Mapa_RSD!B19</f>
        <v>Direccionamiento estratégico</v>
      </c>
      <c r="C20" s="136" t="str">
        <f>+R_S_Digital[[#This Row],[Código Riesgo]]</f>
        <v>DIR-SAF3</v>
      </c>
      <c r="D20" s="75"/>
      <c r="E20" s="141" t="str">
        <f>IF(C_S_Digital[[#This Row],[Responsable de ejecutar]]&lt;&gt;"",CONCATENATE(C_S_Digital[[#This Row],[Código riesgo]],"-",IF(C_S_Digital[[#This Row],[Código riesgo]]&lt;&gt;C19,1,RIGHT(E19,1)+1)),"")</f>
        <v/>
      </c>
      <c r="F20" s="142"/>
      <c r="G20" s="142"/>
      <c r="H20" s="142"/>
      <c r="I20" s="141" t="s">
        <v>105</v>
      </c>
      <c r="J20" s="141" t="s">
        <v>65</v>
      </c>
      <c r="K20" s="141"/>
      <c r="L20" s="141"/>
      <c r="M20" s="141"/>
      <c r="N20" s="141"/>
      <c r="O20" s="142"/>
      <c r="P20" s="142"/>
      <c r="Q20" s="145"/>
      <c r="R20" s="145"/>
      <c r="S20" s="137">
        <f>_xlfn.XLOOKUP(CONCATENATE(C_S_Digital[[#This Row],[Momento de ejecución]],C_S_Digital[[#This Row],[Forma de ejecución]]),C_Atributos,C_Peso,"",0)</f>
        <v>0.25</v>
      </c>
      <c r="T20" s="141" t="str">
        <f>IFERROR(_xlfn.XLOOKUP(C_S_Digital[[#This Row],[Momento de ejecución]],C_Momento,C_Efecto,,0),"")</f>
        <v>Impacto</v>
      </c>
      <c r="U20" s="143" t="str">
        <f>IFERROR(IF(C_S_Digital[[#This Row],[Código riesgo]]&lt;&gt;C19,_xlfn.XLOOKUP(C20,R_S_Digital[Código Riesgo],#REF!,,0)*IF(C_S_Digital[[#This Row],[Efecto]]="Probabilidad",1-C_S_Digital[[#This Row],[Peso]],1),IF(C_S_Digital[[#This Row],[Efecto]]="Probabilidad",U19*(1-C_S_Digital[[#This Row],[Peso]]),U19)),"")</f>
        <v/>
      </c>
      <c r="V20" s="144" t="str">
        <f>IFERROR(IF(C_S_Digital[[#This Row],[Código riesgo]]&lt;&gt;C19,_xlfn.XLOOKUP(C_S_Digital[[#This Row],[Código riesgo]],R_S_Digital[Código Riesgo],#REF!,,0)*IF(C_S_Digital[[#This Row],[Efecto]]="Impacto",1-C_S_Digital[[#This Row],[Peso]],1),IF(C_S_Digital[[#This Row],[Efecto]]="Impacto",V19*(1-C_S_Digital[[#This Row],[Peso]]),V19)),"")</f>
        <v/>
      </c>
    </row>
    <row r="21" spans="1:22" ht="33" x14ac:dyDescent="0.25">
      <c r="A21" s="3">
        <v>16</v>
      </c>
      <c r="B21" s="85" t="str">
        <f>Mapa_RSD!B20</f>
        <v>Direccionamiento estratégico</v>
      </c>
      <c r="C21" s="136" t="str">
        <f>+R_S_Digital[[#This Row],[Código Riesgo]]</f>
        <v>DIR-SAF4</v>
      </c>
      <c r="D21" s="75"/>
      <c r="E21" s="141" t="str">
        <f>IF(C_S_Digital[[#This Row],[Responsable de ejecutar]]&lt;&gt;"",CONCATENATE(C_S_Digital[[#This Row],[Código riesgo]],"-",IF(C_S_Digital[[#This Row],[Código riesgo]]&lt;&gt;C20,1,RIGHT(E20,1)+1)),"")</f>
        <v/>
      </c>
      <c r="F21" s="142"/>
      <c r="G21" s="142"/>
      <c r="H21" s="142"/>
      <c r="I21" s="141" t="s">
        <v>105</v>
      </c>
      <c r="J21" s="141" t="s">
        <v>65</v>
      </c>
      <c r="K21" s="141"/>
      <c r="L21" s="141"/>
      <c r="M21" s="141"/>
      <c r="N21" s="141"/>
      <c r="O21" s="142"/>
      <c r="P21" s="142"/>
      <c r="Q21" s="145"/>
      <c r="R21" s="145"/>
      <c r="S21" s="137">
        <f>_xlfn.XLOOKUP(CONCATENATE(C_S_Digital[[#This Row],[Momento de ejecución]],C_S_Digital[[#This Row],[Forma de ejecución]]),C_Atributos,C_Peso,"",0)</f>
        <v>0.25</v>
      </c>
      <c r="T21" s="141" t="str">
        <f>IFERROR(_xlfn.XLOOKUP(C_S_Digital[[#This Row],[Momento de ejecución]],C_Momento,C_Efecto,,0),"")</f>
        <v>Impacto</v>
      </c>
      <c r="U21" s="143" t="str">
        <f>IFERROR(IF(C_S_Digital[[#This Row],[Código riesgo]]&lt;&gt;C20,_xlfn.XLOOKUP(C21,R_S_Digital[Código Riesgo],#REF!,,0)*IF(C_S_Digital[[#This Row],[Efecto]]="Probabilidad",1-C_S_Digital[[#This Row],[Peso]],1),IF(C_S_Digital[[#This Row],[Efecto]]="Probabilidad",U20*(1-C_S_Digital[[#This Row],[Peso]]),U20)),"")</f>
        <v/>
      </c>
      <c r="V21" s="144" t="str">
        <f>IFERROR(IF(C_S_Digital[[#This Row],[Código riesgo]]&lt;&gt;C20,_xlfn.XLOOKUP(C_S_Digital[[#This Row],[Código riesgo]],R_S_Digital[Código Riesgo],#REF!,,0)*IF(C_S_Digital[[#This Row],[Efecto]]="Impacto",1-C_S_Digital[[#This Row],[Peso]],1),IF(C_S_Digital[[#This Row],[Efecto]]="Impacto",V20*(1-C_S_Digital[[#This Row],[Peso]]),V20)),"")</f>
        <v/>
      </c>
    </row>
    <row r="22" spans="1:22" ht="33" x14ac:dyDescent="0.25">
      <c r="A22" s="3">
        <v>17</v>
      </c>
      <c r="B22" s="85" t="str">
        <f>Mapa_RSD!B21</f>
        <v>Direccionamiento estratégico</v>
      </c>
      <c r="C22" s="136" t="str">
        <f>+R_S_Digital[[#This Row],[Código Riesgo]]</f>
        <v>DIR-GP2</v>
      </c>
      <c r="D22" s="75"/>
      <c r="E22" s="141" t="str">
        <f>IF(C_S_Digital[[#This Row],[Responsable de ejecutar]]&lt;&gt;"",CONCATENATE(C_S_Digital[[#This Row],[Código riesgo]],"-",IF(C_S_Digital[[#This Row],[Código riesgo]]&lt;&gt;C21,1,RIGHT(E21,1)+1)),"")</f>
        <v/>
      </c>
      <c r="F22" s="142"/>
      <c r="G22" s="142"/>
      <c r="H22" s="142"/>
      <c r="I22" s="141" t="s">
        <v>105</v>
      </c>
      <c r="J22" s="141" t="s">
        <v>65</v>
      </c>
      <c r="K22" s="141"/>
      <c r="L22" s="141"/>
      <c r="M22" s="141"/>
      <c r="N22" s="141"/>
      <c r="O22" s="142"/>
      <c r="P22" s="142"/>
      <c r="Q22" s="145"/>
      <c r="R22" s="145"/>
      <c r="S22" s="137">
        <f>_xlfn.XLOOKUP(CONCATENATE(C_S_Digital[[#This Row],[Momento de ejecución]],C_S_Digital[[#This Row],[Forma de ejecución]]),C_Atributos,C_Peso,"",0)</f>
        <v>0.25</v>
      </c>
      <c r="T22" s="141" t="str">
        <f>IFERROR(_xlfn.XLOOKUP(C_S_Digital[[#This Row],[Momento de ejecución]],C_Momento,C_Efecto,,0),"")</f>
        <v>Impacto</v>
      </c>
      <c r="U22" s="143" t="str">
        <f>IFERROR(IF(C_S_Digital[[#This Row],[Código riesgo]]&lt;&gt;C21,_xlfn.XLOOKUP(C22,R_S_Digital[Código Riesgo],#REF!,,0)*IF(C_S_Digital[[#This Row],[Efecto]]="Probabilidad",1-C_S_Digital[[#This Row],[Peso]],1),IF(C_S_Digital[[#This Row],[Efecto]]="Probabilidad",U21*(1-C_S_Digital[[#This Row],[Peso]]),U21)),"")</f>
        <v/>
      </c>
      <c r="V22" s="144" t="str">
        <f>IFERROR(IF(C_S_Digital[[#This Row],[Código riesgo]]&lt;&gt;C21,_xlfn.XLOOKUP(C_S_Digital[[#This Row],[Código riesgo]],R_S_Digital[Código Riesgo],#REF!,,0)*IF(C_S_Digital[[#This Row],[Efecto]]="Impacto",1-C_S_Digital[[#This Row],[Peso]],1),IF(C_S_Digital[[#This Row],[Efecto]]="Impacto",V21*(1-C_S_Digital[[#This Row],[Peso]]),V21)),"")</f>
        <v/>
      </c>
    </row>
    <row r="23" spans="1:22" ht="33" x14ac:dyDescent="0.25">
      <c r="A23" s="3">
        <v>18</v>
      </c>
      <c r="B23" s="85" t="str">
        <f>Mapa_RSD!B22</f>
        <v>Direccionamiento estratégico</v>
      </c>
      <c r="C23" s="136" t="str">
        <f>+R_S_Digital[[#This Row],[Código Riesgo]]</f>
        <v>DIR-GP3</v>
      </c>
      <c r="D23" s="75"/>
      <c r="E23" s="141" t="str">
        <f>IF(C_S_Digital[[#This Row],[Responsable de ejecutar]]&lt;&gt;"",CONCATENATE(C_S_Digital[[#This Row],[Código riesgo]],"-",IF(C_S_Digital[[#This Row],[Código riesgo]]&lt;&gt;C22,1,RIGHT(E22,1)+1)),"")</f>
        <v/>
      </c>
      <c r="F23" s="142"/>
      <c r="G23" s="142"/>
      <c r="H23" s="142"/>
      <c r="I23" s="141" t="s">
        <v>105</v>
      </c>
      <c r="J23" s="141" t="s">
        <v>65</v>
      </c>
      <c r="K23" s="141"/>
      <c r="L23" s="141"/>
      <c r="M23" s="141"/>
      <c r="N23" s="141"/>
      <c r="O23" s="142"/>
      <c r="P23" s="142"/>
      <c r="Q23" s="145"/>
      <c r="R23" s="145"/>
      <c r="S23" s="137">
        <f>_xlfn.XLOOKUP(CONCATENATE(C_S_Digital[[#This Row],[Momento de ejecución]],C_S_Digital[[#This Row],[Forma de ejecución]]),C_Atributos,C_Peso,"",0)</f>
        <v>0.25</v>
      </c>
      <c r="T23" s="141" t="str">
        <f>IFERROR(_xlfn.XLOOKUP(C_S_Digital[[#This Row],[Momento de ejecución]],C_Momento,C_Efecto,,0),"")</f>
        <v>Impacto</v>
      </c>
      <c r="U23" s="143" t="str">
        <f>IFERROR(IF(C_S_Digital[[#This Row],[Código riesgo]]&lt;&gt;C22,_xlfn.XLOOKUP(C23,R_S_Digital[Código Riesgo],#REF!,,0)*IF(C_S_Digital[[#This Row],[Efecto]]="Probabilidad",1-C_S_Digital[[#This Row],[Peso]],1),IF(C_S_Digital[[#This Row],[Efecto]]="Probabilidad",U22*(1-C_S_Digital[[#This Row],[Peso]]),U22)),"")</f>
        <v/>
      </c>
      <c r="V23" s="144" t="str">
        <f>IFERROR(IF(C_S_Digital[[#This Row],[Código riesgo]]&lt;&gt;C22,_xlfn.XLOOKUP(C_S_Digital[[#This Row],[Código riesgo]],R_S_Digital[Código Riesgo],#REF!,,0)*IF(C_S_Digital[[#This Row],[Efecto]]="Impacto",1-C_S_Digital[[#This Row],[Peso]],1),IF(C_S_Digital[[#This Row],[Efecto]]="Impacto",V22*(1-C_S_Digital[[#This Row],[Peso]]),V22)),"")</f>
        <v/>
      </c>
    </row>
    <row r="24" spans="1:22" ht="33" x14ac:dyDescent="0.25">
      <c r="A24" s="3">
        <v>19</v>
      </c>
      <c r="B24" s="85" t="str">
        <f>Mapa_RSD!B23</f>
        <v>Direccionamiento estratégico</v>
      </c>
      <c r="C24" s="136" t="str">
        <f>+R_S_Digital[[#This Row],[Código Riesgo]]</f>
        <v>DIR-GP4</v>
      </c>
      <c r="D24" s="75"/>
      <c r="E24" s="141" t="str">
        <f>IF(C_S_Digital[[#This Row],[Responsable de ejecutar]]&lt;&gt;"",CONCATENATE(C_S_Digital[[#This Row],[Código riesgo]],"-",IF(C_S_Digital[[#This Row],[Código riesgo]]&lt;&gt;C23,1,RIGHT(E23,1)+1)),"")</f>
        <v/>
      </c>
      <c r="F24" s="142"/>
      <c r="G24" s="142"/>
      <c r="H24" s="142"/>
      <c r="I24" s="141" t="s">
        <v>105</v>
      </c>
      <c r="J24" s="141" t="s">
        <v>65</v>
      </c>
      <c r="K24" s="141"/>
      <c r="L24" s="141"/>
      <c r="M24" s="141"/>
      <c r="N24" s="141"/>
      <c r="O24" s="142"/>
      <c r="P24" s="142"/>
      <c r="Q24" s="145"/>
      <c r="R24" s="145"/>
      <c r="S24" s="137">
        <f>_xlfn.XLOOKUP(CONCATENATE(C_S_Digital[[#This Row],[Momento de ejecución]],C_S_Digital[[#This Row],[Forma de ejecución]]),C_Atributos,C_Peso,"",0)</f>
        <v>0.25</v>
      </c>
      <c r="T24" s="141" t="str">
        <f>IFERROR(_xlfn.XLOOKUP(C_S_Digital[[#This Row],[Momento de ejecución]],C_Momento,C_Efecto,,0),"")</f>
        <v>Impacto</v>
      </c>
      <c r="U24" s="143" t="str">
        <f>IFERROR(IF(C_S_Digital[[#This Row],[Código riesgo]]&lt;&gt;C23,_xlfn.XLOOKUP(C24,R_S_Digital[Código Riesgo],#REF!,,0)*IF(C_S_Digital[[#This Row],[Efecto]]="Probabilidad",1-C_S_Digital[[#This Row],[Peso]],1),IF(C_S_Digital[[#This Row],[Efecto]]="Probabilidad",U23*(1-C_S_Digital[[#This Row],[Peso]]),U23)),"")</f>
        <v/>
      </c>
      <c r="V24" s="144" t="str">
        <f>IFERROR(IF(C_S_Digital[[#This Row],[Código riesgo]]&lt;&gt;C23,_xlfn.XLOOKUP(C_S_Digital[[#This Row],[Código riesgo]],R_S_Digital[Código Riesgo],#REF!,,0)*IF(C_S_Digital[[#This Row],[Efecto]]="Impacto",1-C_S_Digital[[#This Row],[Peso]],1),IF(C_S_Digital[[#This Row],[Efecto]]="Impacto",V23*(1-C_S_Digital[[#This Row],[Peso]]),V23)),"")</f>
        <v/>
      </c>
    </row>
    <row r="25" spans="1:22" ht="33" x14ac:dyDescent="0.25">
      <c r="A25" s="3">
        <v>20</v>
      </c>
      <c r="B25" s="85" t="str">
        <f>Mapa_RSD!B24</f>
        <v>Direccionamiento estratégico</v>
      </c>
      <c r="C25" s="136" t="str">
        <f>+R_S_Digital[[#This Row],[Código Riesgo]]</f>
        <v>DIR-GP5</v>
      </c>
      <c r="D25" s="75"/>
      <c r="E25" s="141" t="str">
        <f>IF(C_S_Digital[[#This Row],[Responsable de ejecutar]]&lt;&gt;"",CONCATENATE(C_S_Digital[[#This Row],[Código riesgo]],"-",IF(C_S_Digital[[#This Row],[Código riesgo]]&lt;&gt;C24,1,RIGHT(E24,1)+1)),"")</f>
        <v/>
      </c>
      <c r="F25" s="142"/>
      <c r="G25" s="142"/>
      <c r="H25" s="142"/>
      <c r="I25" s="141" t="s">
        <v>105</v>
      </c>
      <c r="J25" s="141" t="s">
        <v>65</v>
      </c>
      <c r="K25" s="141"/>
      <c r="L25" s="141"/>
      <c r="M25" s="141"/>
      <c r="N25" s="141"/>
      <c r="O25" s="142"/>
      <c r="P25" s="142"/>
      <c r="Q25" s="145"/>
      <c r="R25" s="145"/>
      <c r="S25" s="137">
        <f>_xlfn.XLOOKUP(CONCATENATE(C_S_Digital[[#This Row],[Momento de ejecución]],C_S_Digital[[#This Row],[Forma de ejecución]]),C_Atributos,C_Peso,"",0)</f>
        <v>0.25</v>
      </c>
      <c r="T25" s="141" t="str">
        <f>IFERROR(_xlfn.XLOOKUP(C_S_Digital[[#This Row],[Momento de ejecución]],C_Momento,C_Efecto,,0),"")</f>
        <v>Impacto</v>
      </c>
      <c r="U25" s="143" t="str">
        <f>IFERROR(IF(C_S_Digital[[#This Row],[Código riesgo]]&lt;&gt;C24,_xlfn.XLOOKUP(C25,R_S_Digital[Código Riesgo],#REF!,,0)*IF(C_S_Digital[[#This Row],[Efecto]]="Probabilidad",1-C_S_Digital[[#This Row],[Peso]],1),IF(C_S_Digital[[#This Row],[Efecto]]="Probabilidad",U24*(1-C_S_Digital[[#This Row],[Peso]]),U24)),"")</f>
        <v/>
      </c>
      <c r="V25" s="144" t="str">
        <f>IFERROR(IF(C_S_Digital[[#This Row],[Código riesgo]]&lt;&gt;C24,_xlfn.XLOOKUP(C_S_Digital[[#This Row],[Código riesgo]],R_S_Digital[Código Riesgo],#REF!,,0)*IF(C_S_Digital[[#This Row],[Efecto]]="Impacto",1-C_S_Digital[[#This Row],[Peso]],1),IF(C_S_Digital[[#This Row],[Efecto]]="Impacto",V24*(1-C_S_Digital[[#This Row],[Peso]]),V24)),"")</f>
        <v/>
      </c>
    </row>
    <row r="26" spans="1:22" ht="33" x14ac:dyDescent="0.25">
      <c r="A26" s="3">
        <v>21</v>
      </c>
      <c r="B26" s="85" t="str">
        <f>Mapa_RSD!B25</f>
        <v>Direccionamiento estratégico</v>
      </c>
      <c r="C26" s="136" t="str">
        <f>+R_S_Digital[[#This Row],[Código Riesgo]]</f>
        <v>FOR-BE1</v>
      </c>
      <c r="D26" s="75"/>
      <c r="E26" s="141" t="str">
        <f>IF(C_S_Digital[[#This Row],[Responsable de ejecutar]]&lt;&gt;"",CONCATENATE(C_S_Digital[[#This Row],[Código riesgo]],"-",IF(C_S_Digital[[#This Row],[Código riesgo]]&lt;&gt;C25,1,RIGHT(E25,1)+1)),"")</f>
        <v/>
      </c>
      <c r="F26" s="142"/>
      <c r="G26" s="142"/>
      <c r="H26" s="142"/>
      <c r="I26" s="141" t="s">
        <v>105</v>
      </c>
      <c r="J26" s="141" t="s">
        <v>65</v>
      </c>
      <c r="K26" s="141"/>
      <c r="L26" s="141"/>
      <c r="M26" s="141"/>
      <c r="N26" s="141"/>
      <c r="O26" s="142"/>
      <c r="P26" s="142"/>
      <c r="Q26" s="145"/>
      <c r="R26" s="145"/>
      <c r="S26" s="137">
        <f>_xlfn.XLOOKUP(CONCATENATE(C_S_Digital[[#This Row],[Momento de ejecución]],C_S_Digital[[#This Row],[Forma de ejecución]]),C_Atributos,C_Peso,"",0)</f>
        <v>0.25</v>
      </c>
      <c r="T26" s="141" t="str">
        <f>IFERROR(_xlfn.XLOOKUP(C_S_Digital[[#This Row],[Momento de ejecución]],C_Momento,C_Efecto,,0),"")</f>
        <v>Impacto</v>
      </c>
      <c r="U26" s="143" t="str">
        <f>IFERROR(IF(C_S_Digital[[#This Row],[Código riesgo]]&lt;&gt;C25,_xlfn.XLOOKUP(C26,R_S_Digital[Código Riesgo],#REF!,,0)*IF(C_S_Digital[[#This Row],[Efecto]]="Probabilidad",1-C_S_Digital[[#This Row],[Peso]],1),IF(C_S_Digital[[#This Row],[Efecto]]="Probabilidad",U25*(1-C_S_Digital[[#This Row],[Peso]]),U25)),"")</f>
        <v/>
      </c>
      <c r="V26" s="144" t="str">
        <f>IFERROR(IF(C_S_Digital[[#This Row],[Código riesgo]]&lt;&gt;C25,_xlfn.XLOOKUP(C_S_Digital[[#This Row],[Código riesgo]],R_S_Digital[Código Riesgo],#REF!,,0)*IF(C_S_Digital[[#This Row],[Efecto]]="Impacto",1-C_S_Digital[[#This Row],[Peso]],1),IF(C_S_Digital[[#This Row],[Efecto]]="Impacto",V25*(1-C_S_Digital[[#This Row],[Peso]]),V25)),"")</f>
        <v/>
      </c>
    </row>
    <row r="27" spans="1:22" x14ac:dyDescent="0.25">
      <c r="A27" s="3">
        <v>22</v>
      </c>
      <c r="B27" s="85" t="str">
        <f>Mapa_RSD!B26</f>
        <v>Formación</v>
      </c>
      <c r="C27" s="136" t="str">
        <f>+R_S_Digital[[#This Row],[Código Riesgo]]</f>
        <v>FOR-BE2</v>
      </c>
      <c r="D27" s="75"/>
      <c r="E27" s="141" t="str">
        <f>IF(C_S_Digital[[#This Row],[Responsable de ejecutar]]&lt;&gt;"",CONCATENATE(C_S_Digital[[#This Row],[Código riesgo]],"-",IF(C_S_Digital[[#This Row],[Código riesgo]]&lt;&gt;C26,1,RIGHT(E26,1)+1)),"")</f>
        <v/>
      </c>
      <c r="F27" s="142"/>
      <c r="G27" s="142"/>
      <c r="H27" s="142"/>
      <c r="I27" s="141" t="s">
        <v>105</v>
      </c>
      <c r="J27" s="141" t="s">
        <v>65</v>
      </c>
      <c r="K27" s="141"/>
      <c r="L27" s="141"/>
      <c r="M27" s="141"/>
      <c r="N27" s="141"/>
      <c r="O27" s="142"/>
      <c r="P27" s="142"/>
      <c r="Q27" s="145"/>
      <c r="R27" s="145"/>
      <c r="S27" s="137">
        <f>_xlfn.XLOOKUP(CONCATENATE(C_S_Digital[[#This Row],[Momento de ejecución]],C_S_Digital[[#This Row],[Forma de ejecución]]),C_Atributos,C_Peso,"",0)</f>
        <v>0.25</v>
      </c>
      <c r="T27" s="141" t="str">
        <f>IFERROR(_xlfn.XLOOKUP(C_S_Digital[[#This Row],[Momento de ejecución]],C_Momento,C_Efecto,,0),"")</f>
        <v>Impacto</v>
      </c>
      <c r="U27" s="143" t="str">
        <f>IFERROR(IF(C_S_Digital[[#This Row],[Código riesgo]]&lt;&gt;C26,_xlfn.XLOOKUP(C27,R_S_Digital[Código Riesgo],#REF!,,0)*IF(C_S_Digital[[#This Row],[Efecto]]="Probabilidad",1-C_S_Digital[[#This Row],[Peso]],1),IF(C_S_Digital[[#This Row],[Efecto]]="Probabilidad",U26*(1-C_S_Digital[[#This Row],[Peso]]),U26)),"")</f>
        <v/>
      </c>
      <c r="V27" s="144" t="str">
        <f>IFERROR(IF(C_S_Digital[[#This Row],[Código riesgo]]&lt;&gt;C26,_xlfn.XLOOKUP(C_S_Digital[[#This Row],[Código riesgo]],R_S_Digital[Código Riesgo],#REF!,,0)*IF(C_S_Digital[[#This Row],[Efecto]]="Impacto",1-C_S_Digital[[#This Row],[Peso]],1),IF(C_S_Digital[[#This Row],[Efecto]]="Impacto",V26*(1-C_S_Digital[[#This Row],[Peso]]),V26)),"")</f>
        <v/>
      </c>
    </row>
    <row r="28" spans="1:22" x14ac:dyDescent="0.25">
      <c r="A28" s="3">
        <v>23</v>
      </c>
      <c r="B28" s="85" t="str">
        <f>Mapa_RSD!B27</f>
        <v>Formación</v>
      </c>
      <c r="C28" s="136" t="str">
        <f>+R_S_Digital[[#This Row],[Código Riesgo]]</f>
        <v>FOR-BE3</v>
      </c>
      <c r="D28" s="75"/>
      <c r="E28" s="141" t="str">
        <f>IF(C_S_Digital[[#This Row],[Responsable de ejecutar]]&lt;&gt;"",CONCATENATE(C_S_Digital[[#This Row],[Código riesgo]],"-",IF(C_S_Digital[[#This Row],[Código riesgo]]&lt;&gt;C27,1,RIGHT(E27,1)+1)),"")</f>
        <v/>
      </c>
      <c r="F28" s="142"/>
      <c r="G28" s="142"/>
      <c r="H28" s="142"/>
      <c r="I28" s="141" t="s">
        <v>105</v>
      </c>
      <c r="J28" s="141" t="s">
        <v>65</v>
      </c>
      <c r="K28" s="141"/>
      <c r="L28" s="141"/>
      <c r="M28" s="141"/>
      <c r="N28" s="141"/>
      <c r="O28" s="142"/>
      <c r="P28" s="142"/>
      <c r="Q28" s="145"/>
      <c r="R28" s="145"/>
      <c r="S28" s="137">
        <f>_xlfn.XLOOKUP(CONCATENATE(C_S_Digital[[#This Row],[Momento de ejecución]],C_S_Digital[[#This Row],[Forma de ejecución]]),C_Atributos,C_Peso,"",0)</f>
        <v>0.25</v>
      </c>
      <c r="T28" s="141" t="str">
        <f>IFERROR(_xlfn.XLOOKUP(C_S_Digital[[#This Row],[Momento de ejecución]],C_Momento,C_Efecto,,0),"")</f>
        <v>Impacto</v>
      </c>
      <c r="U28" s="143" t="str">
        <f>IFERROR(IF(C_S_Digital[[#This Row],[Código riesgo]]&lt;&gt;C27,_xlfn.XLOOKUP(C28,R_S_Digital[Código Riesgo],#REF!,,0)*IF(C_S_Digital[[#This Row],[Efecto]]="Probabilidad",1-C_S_Digital[[#This Row],[Peso]],1),IF(C_S_Digital[[#This Row],[Efecto]]="Probabilidad",U27*(1-C_S_Digital[[#This Row],[Peso]]),U27)),"")</f>
        <v/>
      </c>
      <c r="V28" s="144" t="str">
        <f>IFERROR(IF(C_S_Digital[[#This Row],[Código riesgo]]&lt;&gt;C27,_xlfn.XLOOKUP(C_S_Digital[[#This Row],[Código riesgo]],R_S_Digital[Código Riesgo],#REF!,,0)*IF(C_S_Digital[[#This Row],[Efecto]]="Impacto",1-C_S_Digital[[#This Row],[Peso]],1),IF(C_S_Digital[[#This Row],[Efecto]]="Impacto",V27*(1-C_S_Digital[[#This Row],[Peso]]),V27)),"")</f>
        <v/>
      </c>
    </row>
    <row r="29" spans="1:22" x14ac:dyDescent="0.25">
      <c r="A29" s="3">
        <v>24</v>
      </c>
      <c r="B29" s="85" t="str">
        <f>Mapa_RSD!B28</f>
        <v>Formación</v>
      </c>
      <c r="C29" s="136" t="str">
        <f>+R_S_Digital[[#This Row],[Código Riesgo]]</f>
        <v>F-SAB1</v>
      </c>
      <c r="D29" s="75"/>
      <c r="E29" s="141" t="str">
        <f>IF(C_S_Digital[[#This Row],[Responsable de ejecutar]]&lt;&gt;"",CONCATENATE(C_S_Digital[[#This Row],[Código riesgo]],"-",IF(C_S_Digital[[#This Row],[Código riesgo]]&lt;&gt;C28,1,RIGHT(E28,1)+1)),"")</f>
        <v/>
      </c>
      <c r="F29" s="142"/>
      <c r="G29" s="142"/>
      <c r="H29" s="142"/>
      <c r="I29" s="141" t="s">
        <v>105</v>
      </c>
      <c r="J29" s="141" t="s">
        <v>65</v>
      </c>
      <c r="K29" s="141"/>
      <c r="L29" s="141"/>
      <c r="M29" s="141"/>
      <c r="N29" s="141"/>
      <c r="O29" s="142"/>
      <c r="P29" s="142"/>
      <c r="Q29" s="145"/>
      <c r="R29" s="145"/>
      <c r="S29" s="137">
        <f>_xlfn.XLOOKUP(CONCATENATE(C_S_Digital[[#This Row],[Momento de ejecución]],C_S_Digital[[#This Row],[Forma de ejecución]]),C_Atributos,C_Peso,"",0)</f>
        <v>0.25</v>
      </c>
      <c r="T29" s="141" t="str">
        <f>IFERROR(_xlfn.XLOOKUP(C_S_Digital[[#This Row],[Momento de ejecución]],C_Momento,C_Efecto,,0),"")</f>
        <v>Impacto</v>
      </c>
      <c r="U29" s="143" t="str">
        <f>IFERROR(IF(C_S_Digital[[#This Row],[Código riesgo]]&lt;&gt;C28,_xlfn.XLOOKUP(C29,R_S_Digital[Código Riesgo],#REF!,,0)*IF(C_S_Digital[[#This Row],[Efecto]]="Probabilidad",1-C_S_Digital[[#This Row],[Peso]],1),IF(C_S_Digital[[#This Row],[Efecto]]="Probabilidad",U28*(1-C_S_Digital[[#This Row],[Peso]]),U28)),"")</f>
        <v/>
      </c>
      <c r="V29" s="144" t="str">
        <f>IFERROR(IF(C_S_Digital[[#This Row],[Código riesgo]]&lt;&gt;C28,_xlfn.XLOOKUP(C_S_Digital[[#This Row],[Código riesgo]],R_S_Digital[Código Riesgo],#REF!,,0)*IF(C_S_Digital[[#This Row],[Efecto]]="Impacto",1-C_S_Digital[[#This Row],[Peso]],1),IF(C_S_Digital[[#This Row],[Efecto]]="Impacto",V28*(1-C_S_Digital[[#This Row],[Peso]]),V28)),"")</f>
        <v/>
      </c>
    </row>
    <row r="30" spans="1:22" x14ac:dyDescent="0.25">
      <c r="A30" s="3">
        <v>25</v>
      </c>
      <c r="B30" s="85" t="str">
        <f>Mapa_RSD!B29</f>
        <v>Formación</v>
      </c>
      <c r="C30" s="136" t="str">
        <f>+R_S_Digital[[#This Row],[Código Riesgo]]</f>
        <v>GBS-RF1</v>
      </c>
      <c r="D30" s="75"/>
      <c r="E30" s="141" t="str">
        <f>IF(C_S_Digital[[#This Row],[Responsable de ejecutar]]&lt;&gt;"",CONCATENATE(C_S_Digital[[#This Row],[Código riesgo]],"-",IF(C_S_Digital[[#This Row],[Código riesgo]]&lt;&gt;C29,1,RIGHT(E29,1)+1)),"")</f>
        <v/>
      </c>
      <c r="F30" s="142"/>
      <c r="G30" s="142"/>
      <c r="H30" s="142"/>
      <c r="I30" s="141" t="s">
        <v>105</v>
      </c>
      <c r="J30" s="141" t="s">
        <v>65</v>
      </c>
      <c r="K30" s="141"/>
      <c r="L30" s="141"/>
      <c r="M30" s="141"/>
      <c r="N30" s="141"/>
      <c r="O30" s="142"/>
      <c r="P30" s="142"/>
      <c r="Q30" s="145"/>
      <c r="R30" s="145"/>
      <c r="S30" s="137">
        <f>_xlfn.XLOOKUP(CONCATENATE(C_S_Digital[[#This Row],[Momento de ejecución]],C_S_Digital[[#This Row],[Forma de ejecución]]),C_Atributos,C_Peso,"",0)</f>
        <v>0.25</v>
      </c>
      <c r="T30" s="141" t="str">
        <f>IFERROR(_xlfn.XLOOKUP(C_S_Digital[[#This Row],[Momento de ejecución]],C_Momento,C_Efecto,,0),"")</f>
        <v>Impacto</v>
      </c>
      <c r="U30" s="143" t="str">
        <f>IFERROR(IF(C_S_Digital[[#This Row],[Código riesgo]]&lt;&gt;C29,_xlfn.XLOOKUP(C30,R_S_Digital[Código Riesgo],#REF!,,0)*IF(C_S_Digital[[#This Row],[Efecto]]="Probabilidad",1-C_S_Digital[[#This Row],[Peso]],1),IF(C_S_Digital[[#This Row],[Efecto]]="Probabilidad",U29*(1-C_S_Digital[[#This Row],[Peso]]),U29)),"")</f>
        <v/>
      </c>
      <c r="V30" s="144" t="str">
        <f>IFERROR(IF(C_S_Digital[[#This Row],[Código riesgo]]&lt;&gt;C29,_xlfn.XLOOKUP(C_S_Digital[[#This Row],[Código riesgo]],R_S_Digital[Código Riesgo],#REF!,,0)*IF(C_S_Digital[[#This Row],[Efecto]]="Impacto",1-C_S_Digital[[#This Row],[Peso]],1),IF(C_S_Digital[[#This Row],[Efecto]]="Impacto",V29*(1-C_S_Digital[[#This Row],[Peso]]),V29)),"")</f>
        <v/>
      </c>
    </row>
    <row r="31" spans="1:22" ht="49.5" x14ac:dyDescent="0.25">
      <c r="A31" s="3">
        <v>26</v>
      </c>
      <c r="B31" s="85" t="str">
        <f>Mapa_RSD!B30</f>
        <v>Gestión de bienes y servicios</v>
      </c>
      <c r="C31" s="136" t="str">
        <f>+R_S_Digital[[#This Row],[Código Riesgo]]</f>
        <v>GBS-RF2</v>
      </c>
      <c r="D31" s="75"/>
      <c r="E31" s="141" t="str">
        <f>IF(C_S_Digital[[#This Row],[Responsable de ejecutar]]&lt;&gt;"",CONCATENATE(C_S_Digital[[#This Row],[Código riesgo]],"-",IF(C_S_Digital[[#This Row],[Código riesgo]]&lt;&gt;C30,1,RIGHT(E30,1)+1)),"")</f>
        <v/>
      </c>
      <c r="F31" s="142"/>
      <c r="G31" s="142"/>
      <c r="H31" s="142"/>
      <c r="I31" s="141" t="s">
        <v>105</v>
      </c>
      <c r="J31" s="141" t="s">
        <v>65</v>
      </c>
      <c r="K31" s="141"/>
      <c r="L31" s="141"/>
      <c r="M31" s="141"/>
      <c r="N31" s="141"/>
      <c r="O31" s="142"/>
      <c r="P31" s="142"/>
      <c r="Q31" s="145"/>
      <c r="R31" s="145"/>
      <c r="S31" s="137">
        <f>_xlfn.XLOOKUP(CONCATENATE(C_S_Digital[[#This Row],[Momento de ejecución]],C_S_Digital[[#This Row],[Forma de ejecución]]),C_Atributos,C_Peso,"",0)</f>
        <v>0.25</v>
      </c>
      <c r="T31" s="141" t="str">
        <f>IFERROR(_xlfn.XLOOKUP(C_S_Digital[[#This Row],[Momento de ejecución]],C_Momento,C_Efecto,,0),"")</f>
        <v>Impacto</v>
      </c>
      <c r="U31" s="143" t="str">
        <f>IFERROR(IF(C_S_Digital[[#This Row],[Código riesgo]]&lt;&gt;C30,_xlfn.XLOOKUP(C31,R_S_Digital[Código Riesgo],#REF!,,0)*IF(C_S_Digital[[#This Row],[Efecto]]="Probabilidad",1-C_S_Digital[[#This Row],[Peso]],1),IF(C_S_Digital[[#This Row],[Efecto]]="Probabilidad",U30*(1-C_S_Digital[[#This Row],[Peso]]),U30)),"")</f>
        <v/>
      </c>
      <c r="V31" s="144" t="str">
        <f>IFERROR(IF(C_S_Digital[[#This Row],[Código riesgo]]&lt;&gt;C30,_xlfn.XLOOKUP(C_S_Digital[[#This Row],[Código riesgo]],R_S_Digital[Código Riesgo],#REF!,,0)*IF(C_S_Digital[[#This Row],[Efecto]]="Impacto",1-C_S_Digital[[#This Row],[Peso]],1),IF(C_S_Digital[[#This Row],[Efecto]]="Impacto",V30*(1-C_S_Digital[[#This Row],[Peso]]),V30)),"")</f>
        <v/>
      </c>
    </row>
    <row r="32" spans="1:22" ht="49.5" x14ac:dyDescent="0.25">
      <c r="A32" s="3">
        <v>27</v>
      </c>
      <c r="B32" s="85" t="str">
        <f>Mapa_RSD!B31</f>
        <v>Gestión de bienes y servicios</v>
      </c>
      <c r="C32" s="136" t="str">
        <f>+R_S_Digital[[#This Row],[Código Riesgo]]</f>
        <v>GBS-RF3</v>
      </c>
      <c r="D32" s="75"/>
      <c r="E32" s="141" t="str">
        <f>IF(C_S_Digital[[#This Row],[Responsable de ejecutar]]&lt;&gt;"",CONCATENATE(C_S_Digital[[#This Row],[Código riesgo]],"-",IF(C_S_Digital[[#This Row],[Código riesgo]]&lt;&gt;C31,1,RIGHT(E31,1)+1)),"")</f>
        <v/>
      </c>
      <c r="F32" s="142"/>
      <c r="G32" s="142"/>
      <c r="H32" s="142"/>
      <c r="I32" s="141" t="s">
        <v>105</v>
      </c>
      <c r="J32" s="141" t="s">
        <v>65</v>
      </c>
      <c r="K32" s="141"/>
      <c r="L32" s="141"/>
      <c r="M32" s="141"/>
      <c r="N32" s="141"/>
      <c r="O32" s="142"/>
      <c r="P32" s="142"/>
      <c r="Q32" s="145"/>
      <c r="R32" s="145"/>
      <c r="S32" s="137">
        <f>_xlfn.XLOOKUP(CONCATENATE(C_S_Digital[[#This Row],[Momento de ejecución]],C_S_Digital[[#This Row],[Forma de ejecución]]),C_Atributos,C_Peso,"",0)</f>
        <v>0.25</v>
      </c>
      <c r="T32" s="141" t="str">
        <f>IFERROR(_xlfn.XLOOKUP(C_S_Digital[[#This Row],[Momento de ejecución]],C_Momento,C_Efecto,,0),"")</f>
        <v>Impacto</v>
      </c>
      <c r="U32" s="143" t="str">
        <f>IFERROR(IF(C_S_Digital[[#This Row],[Código riesgo]]&lt;&gt;C31,_xlfn.XLOOKUP(C32,R_S_Digital[Código Riesgo],#REF!,,0)*IF(C_S_Digital[[#This Row],[Efecto]]="Probabilidad",1-C_S_Digital[[#This Row],[Peso]],1),IF(C_S_Digital[[#This Row],[Efecto]]="Probabilidad",U31*(1-C_S_Digital[[#This Row],[Peso]]),U31)),"")</f>
        <v/>
      </c>
      <c r="V32" s="144" t="str">
        <f>IFERROR(IF(C_S_Digital[[#This Row],[Código riesgo]]&lt;&gt;C31,_xlfn.XLOOKUP(C_S_Digital[[#This Row],[Código riesgo]],R_S_Digital[Código Riesgo],#REF!,,0)*IF(C_S_Digital[[#This Row],[Efecto]]="Impacto",1-C_S_Digital[[#This Row],[Peso]],1),IF(C_S_Digital[[#This Row],[Efecto]]="Impacto",V31*(1-C_S_Digital[[#This Row],[Peso]]),V31)),"")</f>
        <v/>
      </c>
    </row>
    <row r="33" spans="1:49" ht="49.5" x14ac:dyDescent="0.25">
      <c r="A33" s="3">
        <v>28</v>
      </c>
      <c r="B33" s="85" t="str">
        <f>Mapa_RSD!B32</f>
        <v>Gestión de bienes y servicios</v>
      </c>
      <c r="C33" s="136" t="str">
        <f>+R_S_Digital[[#This Row],[Código Riesgo]]</f>
        <v>GTH-TH1</v>
      </c>
      <c r="D33" s="75"/>
      <c r="E33" s="141" t="str">
        <f>IF(C_S_Digital[[#This Row],[Responsable de ejecutar]]&lt;&gt;"",CONCATENATE(C_S_Digital[[#This Row],[Código riesgo]],"-",IF(C_S_Digital[[#This Row],[Código riesgo]]&lt;&gt;C32,1,RIGHT(E32,1)+1)),"")</f>
        <v/>
      </c>
      <c r="F33" s="142"/>
      <c r="G33" s="142"/>
      <c r="H33" s="142"/>
      <c r="I33" s="141" t="s">
        <v>105</v>
      </c>
      <c r="J33" s="141" t="s">
        <v>65</v>
      </c>
      <c r="K33" s="141"/>
      <c r="L33" s="141"/>
      <c r="M33" s="141"/>
      <c r="N33" s="141"/>
      <c r="O33" s="142"/>
      <c r="P33" s="142"/>
      <c r="Q33" s="145"/>
      <c r="R33" s="145"/>
      <c r="S33" s="137">
        <f>_xlfn.XLOOKUP(CONCATENATE(C_S_Digital[[#This Row],[Momento de ejecución]],C_S_Digital[[#This Row],[Forma de ejecución]]),C_Atributos,C_Peso,"",0)</f>
        <v>0.25</v>
      </c>
      <c r="T33" s="141" t="str">
        <f>IFERROR(_xlfn.XLOOKUP(C_S_Digital[[#This Row],[Momento de ejecución]],C_Momento,C_Efecto,,0),"")</f>
        <v>Impacto</v>
      </c>
      <c r="U33" s="143" t="str">
        <f>IFERROR(IF(C_S_Digital[[#This Row],[Código riesgo]]&lt;&gt;C32,_xlfn.XLOOKUP(C33,R_S_Digital[Código Riesgo],#REF!,,0)*IF(C_S_Digital[[#This Row],[Efecto]]="Probabilidad",1-C_S_Digital[[#This Row],[Peso]],1),IF(C_S_Digital[[#This Row],[Efecto]]="Probabilidad",U32*(1-C_S_Digital[[#This Row],[Peso]]),U32)),"")</f>
        <v/>
      </c>
      <c r="V33" s="144" t="str">
        <f>IFERROR(IF(C_S_Digital[[#This Row],[Código riesgo]]&lt;&gt;C32,_xlfn.XLOOKUP(C_S_Digital[[#This Row],[Código riesgo]],R_S_Digital[Código Riesgo],#REF!,,0)*IF(C_S_Digital[[#This Row],[Efecto]]="Impacto",1-C_S_Digital[[#This Row],[Peso]],1),IF(C_S_Digital[[#This Row],[Efecto]]="Impacto",V32*(1-C_S_Digital[[#This Row],[Peso]]),V32)),"")</f>
        <v/>
      </c>
    </row>
    <row r="34" spans="1:49" ht="33" x14ac:dyDescent="0.25">
      <c r="A34" s="3">
        <v>29</v>
      </c>
      <c r="B34" s="85" t="str">
        <f>Mapa_RSD!B33</f>
        <v>Gestión del talento humano</v>
      </c>
      <c r="C34" s="136" t="str">
        <f>+R_S_Digital[[#This Row],[Código Riesgo]]</f>
        <v>INF-COM1</v>
      </c>
      <c r="D34" s="75"/>
      <c r="E34" s="141" t="str">
        <f>IF(C_S_Digital[[#This Row],[Responsable de ejecutar]]&lt;&gt;"",CONCATENATE(C_S_Digital[[#This Row],[Código riesgo]],"-",IF(C_S_Digital[[#This Row],[Código riesgo]]&lt;&gt;C33,1,RIGHT(E33,1)+1)),"")</f>
        <v/>
      </c>
      <c r="F34" s="142"/>
      <c r="G34" s="142"/>
      <c r="H34" s="142"/>
      <c r="I34" s="141" t="s">
        <v>105</v>
      </c>
      <c r="J34" s="141" t="s">
        <v>65</v>
      </c>
      <c r="K34" s="141"/>
      <c r="L34" s="141"/>
      <c r="M34" s="141"/>
      <c r="N34" s="141"/>
      <c r="O34" s="142"/>
      <c r="P34" s="142"/>
      <c r="Q34" s="145"/>
      <c r="R34" s="145"/>
      <c r="S34" s="137">
        <f>_xlfn.XLOOKUP(CONCATENATE(C_S_Digital[[#This Row],[Momento de ejecución]],C_S_Digital[[#This Row],[Forma de ejecución]]),C_Atributos,C_Peso,"",0)</f>
        <v>0.25</v>
      </c>
      <c r="T34" s="141" t="str">
        <f>IFERROR(_xlfn.XLOOKUP(C_S_Digital[[#This Row],[Momento de ejecución]],C_Momento,C_Efecto,,0),"")</f>
        <v>Impacto</v>
      </c>
      <c r="U34" s="143" t="str">
        <f>IFERROR(IF(C_S_Digital[[#This Row],[Código riesgo]]&lt;&gt;C33,_xlfn.XLOOKUP(C34,R_S_Digital[Código Riesgo],#REF!,,0)*IF(C_S_Digital[[#This Row],[Efecto]]="Probabilidad",1-C_S_Digital[[#This Row],[Peso]],1),IF(C_S_Digital[[#This Row],[Efecto]]="Probabilidad",U33*(1-C_S_Digital[[#This Row],[Peso]]),U33)),"")</f>
        <v/>
      </c>
      <c r="V34" s="144" t="str">
        <f>IFERROR(IF(C_S_Digital[[#This Row],[Código riesgo]]&lt;&gt;C33,_xlfn.XLOOKUP(C_S_Digital[[#This Row],[Código riesgo]],R_S_Digital[Código Riesgo],#REF!,,0)*IF(C_S_Digital[[#This Row],[Efecto]]="Impacto",1-C_S_Digital[[#This Row],[Peso]],1),IF(C_S_Digital[[#This Row],[Efecto]]="Impacto",V33*(1-C_S_Digital[[#This Row],[Peso]]),V33)),"")</f>
        <v/>
      </c>
    </row>
    <row r="35" spans="1:49" ht="33" x14ac:dyDescent="0.25">
      <c r="A35" s="3">
        <v>30</v>
      </c>
      <c r="B35" s="85" t="str">
        <f>Mapa_RSD!B34</f>
        <v>Información y comunicación</v>
      </c>
      <c r="C35" s="136" t="str">
        <f>+R_S_Digital[[#This Row],[Código Riesgo]]</f>
        <v>INF-GTI1</v>
      </c>
      <c r="D35" s="75"/>
      <c r="E35" s="141" t="str">
        <f>IF(C_S_Digital[[#This Row],[Responsable de ejecutar]]&lt;&gt;"",CONCATENATE(C_S_Digital[[#This Row],[Código riesgo]],"-",IF(C_S_Digital[[#This Row],[Código riesgo]]&lt;&gt;C34,1,RIGHT(E34,1)+1)),"")</f>
        <v/>
      </c>
      <c r="F35" s="142"/>
      <c r="G35" s="142"/>
      <c r="H35" s="142"/>
      <c r="I35" s="141" t="s">
        <v>105</v>
      </c>
      <c r="J35" s="141" t="s">
        <v>65</v>
      </c>
      <c r="K35" s="141"/>
      <c r="L35" s="141"/>
      <c r="M35" s="141"/>
      <c r="N35" s="141"/>
      <c r="O35" s="142"/>
      <c r="P35" s="142"/>
      <c r="Q35" s="145"/>
      <c r="R35" s="145"/>
      <c r="S35" s="137">
        <f>_xlfn.XLOOKUP(CONCATENATE(C_S_Digital[[#This Row],[Momento de ejecución]],C_S_Digital[[#This Row],[Forma de ejecución]]),C_Atributos,C_Peso,"",0)</f>
        <v>0.25</v>
      </c>
      <c r="T35" s="141" t="str">
        <f>IFERROR(_xlfn.XLOOKUP(C_S_Digital[[#This Row],[Momento de ejecución]],C_Momento,C_Efecto,,0),"")</f>
        <v>Impacto</v>
      </c>
      <c r="U35" s="143" t="str">
        <f>IFERROR(IF(C_S_Digital[[#This Row],[Código riesgo]]&lt;&gt;C34,_xlfn.XLOOKUP(C35,R_S_Digital[Código Riesgo],#REF!,,0)*IF(C_S_Digital[[#This Row],[Efecto]]="Probabilidad",1-C_S_Digital[[#This Row],[Peso]],1),IF(C_S_Digital[[#This Row],[Efecto]]="Probabilidad",U34*(1-C_S_Digital[[#This Row],[Peso]]),U34)),"")</f>
        <v/>
      </c>
      <c r="V35" s="144" t="str">
        <f>IFERROR(IF(C_S_Digital[[#This Row],[Código riesgo]]&lt;&gt;C34,_xlfn.XLOOKUP(C_S_Digital[[#This Row],[Código riesgo]],R_S_Digital[Código Riesgo],#REF!,,0)*IF(C_S_Digital[[#This Row],[Efecto]]="Impacto",1-C_S_Digital[[#This Row],[Peso]],1),IF(C_S_Digital[[#This Row],[Efecto]]="Impacto",V34*(1-C_S_Digital[[#This Row],[Peso]]),V34)),"")</f>
        <v/>
      </c>
    </row>
    <row r="36" spans="1:49" ht="33" x14ac:dyDescent="0.25">
      <c r="A36" s="3">
        <v>31</v>
      </c>
      <c r="B36" s="85" t="str">
        <f>Mapa_RSD!B35</f>
        <v>Información y comunicación</v>
      </c>
      <c r="C36" s="136" t="str">
        <f>+R_S_Digital[[#This Row],[Código Riesgo]]</f>
        <v>INF-GTI2</v>
      </c>
      <c r="D36" s="75"/>
      <c r="E36" s="141" t="str">
        <f>IF(C_S_Digital[[#This Row],[Responsable de ejecutar]]&lt;&gt;"",CONCATENATE(C_S_Digital[[#This Row],[Código riesgo]],"-",IF(C_S_Digital[[#This Row],[Código riesgo]]&lt;&gt;C35,1,RIGHT(E35,1)+1)),"")</f>
        <v/>
      </c>
      <c r="F36" s="142"/>
      <c r="G36" s="142"/>
      <c r="H36" s="142"/>
      <c r="I36" s="141" t="s">
        <v>105</v>
      </c>
      <c r="J36" s="141" t="s">
        <v>65</v>
      </c>
      <c r="K36" s="141"/>
      <c r="L36" s="141"/>
      <c r="M36" s="141"/>
      <c r="N36" s="141"/>
      <c r="O36" s="142"/>
      <c r="P36" s="142"/>
      <c r="Q36" s="145"/>
      <c r="R36" s="145"/>
      <c r="S36" s="137">
        <f>_xlfn.XLOOKUP(CONCATENATE(C_S_Digital[[#This Row],[Momento de ejecución]],C_S_Digital[[#This Row],[Forma de ejecución]]),C_Atributos,C_Peso,"",0)</f>
        <v>0.25</v>
      </c>
      <c r="T36" s="141" t="str">
        <f>IFERROR(_xlfn.XLOOKUP(C_S_Digital[[#This Row],[Momento de ejecución]],C_Momento,C_Efecto,,0),"")</f>
        <v>Impacto</v>
      </c>
      <c r="U36" s="143" t="str">
        <f>IFERROR(IF(C_S_Digital[[#This Row],[Código riesgo]]&lt;&gt;C35,_xlfn.XLOOKUP(C36,R_S_Digital[Código Riesgo],#REF!,,0)*IF(C_S_Digital[[#This Row],[Efecto]]="Probabilidad",1-C_S_Digital[[#This Row],[Peso]],1),IF(C_S_Digital[[#This Row],[Efecto]]="Probabilidad",U35*(1-C_S_Digital[[#This Row],[Peso]]),U35)),"")</f>
        <v/>
      </c>
      <c r="V36" s="144" t="str">
        <f>IFERROR(IF(C_S_Digital[[#This Row],[Código riesgo]]&lt;&gt;C35,_xlfn.XLOOKUP(C_S_Digital[[#This Row],[Código riesgo]],R_S_Digital[Código Riesgo],#REF!,,0)*IF(C_S_Digital[[#This Row],[Efecto]]="Impacto",1-C_S_Digital[[#This Row],[Peso]],1),IF(C_S_Digital[[#This Row],[Efecto]]="Impacto",V35*(1-C_S_Digital[[#This Row],[Peso]]),V35)),"")</f>
        <v/>
      </c>
    </row>
    <row r="37" spans="1:49" ht="33" x14ac:dyDescent="0.25">
      <c r="A37" s="3">
        <v>32</v>
      </c>
      <c r="B37" s="85" t="str">
        <f>Mapa_RSD!B36</f>
        <v>Información y comunicación</v>
      </c>
      <c r="C37" s="136" t="str">
        <f>+R_S_Digital[[#This Row],[Código Riesgo]]</f>
        <v>INF-GTI3</v>
      </c>
      <c r="D37" s="75"/>
      <c r="E37" s="141" t="str">
        <f>IF(C_S_Digital[[#This Row],[Responsable de ejecutar]]&lt;&gt;"",CONCATENATE(C_S_Digital[[#This Row],[Código riesgo]],"-",IF(C_S_Digital[[#This Row],[Código riesgo]]&lt;&gt;C36,1,RIGHT(E36,1)+1)),"")</f>
        <v/>
      </c>
      <c r="F37" s="142"/>
      <c r="G37" s="142"/>
      <c r="H37" s="142"/>
      <c r="I37" s="141" t="s">
        <v>105</v>
      </c>
      <c r="J37" s="141" t="s">
        <v>65</v>
      </c>
      <c r="K37" s="141"/>
      <c r="L37" s="141"/>
      <c r="M37" s="141"/>
      <c r="N37" s="141"/>
      <c r="O37" s="142"/>
      <c r="P37" s="142"/>
      <c r="Q37" s="145"/>
      <c r="R37" s="145"/>
      <c r="S37" s="137">
        <f>_xlfn.XLOOKUP(CONCATENATE(C_S_Digital[[#This Row],[Momento de ejecución]],C_S_Digital[[#This Row],[Forma de ejecución]]),C_Atributos,C_Peso,"",0)</f>
        <v>0.25</v>
      </c>
      <c r="T37" s="141" t="str">
        <f>IFERROR(_xlfn.XLOOKUP(C_S_Digital[[#This Row],[Momento de ejecución]],C_Momento,C_Efecto,,0),"")</f>
        <v>Impacto</v>
      </c>
      <c r="U37" s="143" t="str">
        <f>IFERROR(IF(C_S_Digital[[#This Row],[Código riesgo]]&lt;&gt;C36,_xlfn.XLOOKUP(C37,R_S_Digital[Código Riesgo],#REF!,,0)*IF(C_S_Digital[[#This Row],[Efecto]]="Probabilidad",1-C_S_Digital[[#This Row],[Peso]],1),IF(C_S_Digital[[#This Row],[Efecto]]="Probabilidad",U36*(1-C_S_Digital[[#This Row],[Peso]]),U36)),"")</f>
        <v/>
      </c>
      <c r="V37" s="144" t="str">
        <f>IFERROR(IF(C_S_Digital[[#This Row],[Código riesgo]]&lt;&gt;C36,_xlfn.XLOOKUP(C_S_Digital[[#This Row],[Código riesgo]],R_S_Digital[Código Riesgo],#REF!,,0)*IF(C_S_Digital[[#This Row],[Efecto]]="Impacto",1-C_S_Digital[[#This Row],[Peso]],1),IF(C_S_Digital[[#This Row],[Efecto]]="Impacto",V36*(1-C_S_Digital[[#This Row],[Peso]]),V36)),"")</f>
        <v/>
      </c>
    </row>
    <row r="38" spans="1:49" ht="33" x14ac:dyDescent="0.25">
      <c r="A38" s="3">
        <v>33</v>
      </c>
      <c r="B38" s="85" t="str">
        <f>Mapa_RSD!B37</f>
        <v>Información y comunicación</v>
      </c>
      <c r="C38" s="136" t="str">
        <f>+R_S_Digital[[#This Row],[Código Riesgo]]</f>
        <v>INF-GTI4</v>
      </c>
      <c r="D38" s="75"/>
      <c r="E38" s="141" t="str">
        <f>IF(C_S_Digital[[#This Row],[Responsable de ejecutar]]&lt;&gt;"",CONCATENATE(C_S_Digital[[#This Row],[Código riesgo]],"-",IF(C_S_Digital[[#This Row],[Código riesgo]]&lt;&gt;C37,1,RIGHT(E37,1)+1)),"")</f>
        <v/>
      </c>
      <c r="F38" s="142"/>
      <c r="G38" s="142"/>
      <c r="H38" s="142"/>
      <c r="I38" s="141" t="s">
        <v>105</v>
      </c>
      <c r="J38" s="141" t="s">
        <v>65</v>
      </c>
      <c r="K38" s="141"/>
      <c r="L38" s="141"/>
      <c r="M38" s="141"/>
      <c r="N38" s="141"/>
      <c r="O38" s="142"/>
      <c r="P38" s="142"/>
      <c r="Q38" s="145"/>
      <c r="R38" s="145"/>
      <c r="S38" s="137">
        <f>_xlfn.XLOOKUP(CONCATENATE(C_S_Digital[[#This Row],[Momento de ejecución]],C_S_Digital[[#This Row],[Forma de ejecución]]),C_Atributos,C_Peso,"",0)</f>
        <v>0.25</v>
      </c>
      <c r="T38" s="141" t="str">
        <f>IFERROR(_xlfn.XLOOKUP(C_S_Digital[[#This Row],[Momento de ejecución]],C_Momento,C_Efecto,,0),"")</f>
        <v>Impacto</v>
      </c>
      <c r="U38" s="143" t="str">
        <f>IFERROR(IF(C_S_Digital[[#This Row],[Código riesgo]]&lt;&gt;C37,_xlfn.XLOOKUP(C38,R_S_Digital[Código Riesgo],#REF!,,0)*IF(C_S_Digital[[#This Row],[Efecto]]="Probabilidad",1-C_S_Digital[[#This Row],[Peso]],1),IF(C_S_Digital[[#This Row],[Efecto]]="Probabilidad",U37*(1-C_S_Digital[[#This Row],[Peso]]),U37)),"")</f>
        <v/>
      </c>
      <c r="V38" s="144" t="str">
        <f>IFERROR(IF(C_S_Digital[[#This Row],[Código riesgo]]&lt;&gt;C37,_xlfn.XLOOKUP(C_S_Digital[[#This Row],[Código riesgo]],R_S_Digital[Código Riesgo],#REF!,,0)*IF(C_S_Digital[[#This Row],[Efecto]]="Impacto",1-C_S_Digital[[#This Row],[Peso]],1),IF(C_S_Digital[[#This Row],[Efecto]]="Impacto",V37*(1-C_S_Digital[[#This Row],[Peso]]),V37)),"")</f>
        <v/>
      </c>
    </row>
    <row r="39" spans="1:49" ht="33" x14ac:dyDescent="0.25">
      <c r="A39" s="3">
        <v>34</v>
      </c>
      <c r="B39" s="85" t="str">
        <f>Mapa_RSD!B38</f>
        <v>Información y comunicación</v>
      </c>
      <c r="C39" s="136" t="str">
        <f>+R_S_Digital[[#This Row],[Código Riesgo]]</f>
        <v>INF-GTI5</v>
      </c>
      <c r="D39" s="75"/>
      <c r="E39" s="141" t="str">
        <f>IF(C_S_Digital[[#This Row],[Responsable de ejecutar]]&lt;&gt;"",CONCATENATE(C_S_Digital[[#This Row],[Código riesgo]],"-",IF(C_S_Digital[[#This Row],[Código riesgo]]&lt;&gt;C38,1,RIGHT(E38,1)+1)),"")</f>
        <v/>
      </c>
      <c r="F39" s="142"/>
      <c r="G39" s="142"/>
      <c r="H39" s="142"/>
      <c r="I39" s="141" t="s">
        <v>105</v>
      </c>
      <c r="J39" s="141" t="s">
        <v>65</v>
      </c>
      <c r="K39" s="141"/>
      <c r="L39" s="141"/>
      <c r="M39" s="141"/>
      <c r="N39" s="141"/>
      <c r="O39" s="142"/>
      <c r="P39" s="142"/>
      <c r="Q39" s="145"/>
      <c r="R39" s="145"/>
      <c r="S39" s="137">
        <f>_xlfn.XLOOKUP(CONCATENATE(C_S_Digital[[#This Row],[Momento de ejecución]],C_S_Digital[[#This Row],[Forma de ejecución]]),C_Atributos,C_Peso,"",0)</f>
        <v>0.25</v>
      </c>
      <c r="T39" s="141" t="str">
        <f>IFERROR(_xlfn.XLOOKUP(C_S_Digital[[#This Row],[Momento de ejecución]],C_Momento,C_Efecto,,0),"")</f>
        <v>Impacto</v>
      </c>
      <c r="U39" s="143" t="str">
        <f>IFERROR(IF(C_S_Digital[[#This Row],[Código riesgo]]&lt;&gt;C38,_xlfn.XLOOKUP(C39,R_S_Digital[Código Riesgo],#REF!,,0)*IF(C_S_Digital[[#This Row],[Efecto]]="Probabilidad",1-C_S_Digital[[#This Row],[Peso]],1),IF(C_S_Digital[[#This Row],[Efecto]]="Probabilidad",U38*(1-C_S_Digital[[#This Row],[Peso]]),U38)),"")</f>
        <v/>
      </c>
      <c r="V39" s="144" t="str">
        <f>IFERROR(IF(C_S_Digital[[#This Row],[Código riesgo]]&lt;&gt;C38,_xlfn.XLOOKUP(C_S_Digital[[#This Row],[Código riesgo]],R_S_Digital[Código Riesgo],#REF!,,0)*IF(C_S_Digital[[#This Row],[Efecto]]="Impacto",1-C_S_Digital[[#This Row],[Peso]],1),IF(C_S_Digital[[#This Row],[Efecto]]="Impacto",V38*(1-C_S_Digital[[#This Row],[Peso]]),V38)),"")</f>
        <v/>
      </c>
    </row>
    <row r="40" spans="1:49" ht="33" x14ac:dyDescent="0.25">
      <c r="A40" s="3">
        <v>35</v>
      </c>
      <c r="B40" s="85" t="str">
        <f>Mapa_RSD!B39</f>
        <v>Información y comunicación</v>
      </c>
      <c r="C40" s="136" t="str">
        <f>+R_S_Digital[[#This Row],[Código Riesgo]]</f>
        <v>INV-IA1</v>
      </c>
      <c r="D40" s="75"/>
      <c r="E40" s="141" t="str">
        <f>IF(C_S_Digital[[#This Row],[Responsable de ejecutar]]&lt;&gt;"",CONCATENATE(C_S_Digital[[#This Row],[Código riesgo]],"-",IF(C_S_Digital[[#This Row],[Código riesgo]]&lt;&gt;C39,1,RIGHT(E39,1)+1)),"")</f>
        <v/>
      </c>
      <c r="F40" s="142"/>
      <c r="G40" s="142"/>
      <c r="H40" s="142"/>
      <c r="I40" s="141" t="s">
        <v>105</v>
      </c>
      <c r="J40" s="141" t="s">
        <v>65</v>
      </c>
      <c r="K40" s="141"/>
      <c r="L40" s="141"/>
      <c r="M40" s="141"/>
      <c r="N40" s="141"/>
      <c r="O40" s="142"/>
      <c r="P40" s="142"/>
      <c r="Q40" s="145"/>
      <c r="R40" s="145"/>
      <c r="S40" s="137">
        <f>_xlfn.XLOOKUP(CONCATENATE(C_S_Digital[[#This Row],[Momento de ejecución]],C_S_Digital[[#This Row],[Forma de ejecución]]),C_Atributos,C_Peso,"",0)</f>
        <v>0.25</v>
      </c>
      <c r="T40" s="141" t="str">
        <f>IFERROR(_xlfn.XLOOKUP(C_S_Digital[[#This Row],[Momento de ejecución]],C_Momento,C_Efecto,,0),"")</f>
        <v>Impacto</v>
      </c>
      <c r="U40" s="143" t="str">
        <f>IFERROR(IF(C_S_Digital[[#This Row],[Código riesgo]]&lt;&gt;C39,_xlfn.XLOOKUP(C40,R_S_Digital[Código Riesgo],#REF!,,0)*IF(C_S_Digital[[#This Row],[Efecto]]="Probabilidad",1-C_S_Digital[[#This Row],[Peso]],1),IF(C_S_Digital[[#This Row],[Efecto]]="Probabilidad",U39*(1-C_S_Digital[[#This Row],[Peso]]),U39)),"")</f>
        <v/>
      </c>
      <c r="V40" s="144" t="str">
        <f>IFERROR(IF(C_S_Digital[[#This Row],[Código riesgo]]&lt;&gt;C39,_xlfn.XLOOKUP(C_S_Digital[[#This Row],[Código riesgo]],R_S_Digital[Código Riesgo],#REF!,,0)*IF(C_S_Digital[[#This Row],[Efecto]]="Impacto",1-C_S_Digital[[#This Row],[Peso]],1),IF(C_S_Digital[[#This Row],[Efecto]]="Impacto",V39*(1-C_S_Digital[[#This Row],[Peso]]),V39)),"")</f>
        <v/>
      </c>
    </row>
    <row r="41" spans="1:49" x14ac:dyDescent="0.25">
      <c r="A41" s="3">
        <v>36</v>
      </c>
      <c r="B41" s="85" t="str">
        <f>Mapa_RSD!B40</f>
        <v>Investigación</v>
      </c>
      <c r="C41" s="136" t="str">
        <f>+R_S_Digital[[#This Row],[Código Riesgo]]</f>
        <v>INV-IA2</v>
      </c>
      <c r="D41" s="75"/>
      <c r="E41" s="141" t="str">
        <f>IF(C_S_Digital[[#This Row],[Responsable de ejecutar]]&lt;&gt;"",CONCATENATE(C_S_Digital[[#This Row],[Código riesgo]],"-",IF(C_S_Digital[[#This Row],[Código riesgo]]&lt;&gt;C40,1,RIGHT(E40,1)+1)),"")</f>
        <v/>
      </c>
      <c r="F41" s="142"/>
      <c r="G41" s="142"/>
      <c r="H41" s="142"/>
      <c r="I41" s="141" t="s">
        <v>105</v>
      </c>
      <c r="J41" s="141" t="s">
        <v>65</v>
      </c>
      <c r="K41" s="141"/>
      <c r="L41" s="141"/>
      <c r="M41" s="141"/>
      <c r="N41" s="141"/>
      <c r="O41" s="142"/>
      <c r="P41" s="142"/>
      <c r="Q41" s="145"/>
      <c r="R41" s="145"/>
      <c r="S41" s="137">
        <f>_xlfn.XLOOKUP(CONCATENATE(C_S_Digital[[#This Row],[Momento de ejecución]],C_S_Digital[[#This Row],[Forma de ejecución]]),C_Atributos,C_Peso,"",0)</f>
        <v>0.25</v>
      </c>
      <c r="T41" s="141" t="str">
        <f>IFERROR(_xlfn.XLOOKUP(C_S_Digital[[#This Row],[Momento de ejecución]],C_Momento,C_Efecto,,0),"")</f>
        <v>Impacto</v>
      </c>
      <c r="U41" s="143" t="str">
        <f>IFERROR(IF(C_S_Digital[[#This Row],[Código riesgo]]&lt;&gt;C40,_xlfn.XLOOKUP(C41,R_S_Digital[Código Riesgo],#REF!,,0)*IF(C_S_Digital[[#This Row],[Efecto]]="Probabilidad",1-C_S_Digital[[#This Row],[Peso]],1),IF(C_S_Digital[[#This Row],[Efecto]]="Probabilidad",U40*(1-C_S_Digital[[#This Row],[Peso]]),U40)),"")</f>
        <v/>
      </c>
      <c r="V41" s="144" t="str">
        <f>IFERROR(IF(C_S_Digital[[#This Row],[Código riesgo]]&lt;&gt;C40,_xlfn.XLOOKUP(C_S_Digital[[#This Row],[Código riesgo]],R_S_Digital[Código Riesgo],#REF!,,0)*IF(C_S_Digital[[#This Row],[Efecto]]="Impacto",1-C_S_Digital[[#This Row],[Peso]],1),IF(C_S_Digital[[#This Row],[Efecto]]="Impacto",V40*(1-C_S_Digital[[#This Row],[Peso]]),V40)),"")</f>
        <v/>
      </c>
    </row>
    <row r="42" spans="1:49" x14ac:dyDescent="0.25">
      <c r="A42" s="3">
        <v>37</v>
      </c>
      <c r="B42" s="85" t="str">
        <f>Mapa_RSD!B41</f>
        <v>Investigación</v>
      </c>
      <c r="C42" s="136" t="e">
        <f>+R_S_Digital[[#This Row],[Código Riesgo]]</f>
        <v>#VALUE!</v>
      </c>
      <c r="D42" s="75"/>
      <c r="E42" s="141" t="str">
        <f>IF(C_S_Digital[[#This Row],[Responsable de ejecutar]]&lt;&gt;"",CONCATENATE(C_S_Digital[[#This Row],[Código riesgo]],"-",IF(C_S_Digital[[#This Row],[Código riesgo]]&lt;&gt;C41,1,RIGHT(E41,1)+1)),"")</f>
        <v/>
      </c>
      <c r="F42" s="142"/>
      <c r="G42" s="142"/>
      <c r="H42" s="142"/>
      <c r="I42" s="141" t="s">
        <v>105</v>
      </c>
      <c r="J42" s="141" t="s">
        <v>65</v>
      </c>
      <c r="K42" s="141"/>
      <c r="L42" s="141"/>
      <c r="M42" s="141"/>
      <c r="N42" s="141"/>
      <c r="O42" s="142"/>
      <c r="P42" s="142"/>
      <c r="Q42" s="145"/>
      <c r="R42" s="145"/>
      <c r="S42" s="137">
        <f>_xlfn.XLOOKUP(CONCATENATE(C_S_Digital[[#This Row],[Momento de ejecución]],C_S_Digital[[#This Row],[Forma de ejecución]]),C_Atributos,C_Peso,"",0)</f>
        <v>0.25</v>
      </c>
      <c r="T42" s="141" t="str">
        <f>IFERROR(_xlfn.XLOOKUP(C_S_Digital[[#This Row],[Momento de ejecución]],C_Momento,C_Efecto,,0),"")</f>
        <v>Impacto</v>
      </c>
      <c r="U42" s="143" t="str">
        <f>IFERROR(IF(C_S_Digital[[#This Row],[Código riesgo]]&lt;&gt;C41,_xlfn.XLOOKUP(C42,R_S_Digital[Código Riesgo],#REF!,,0)*IF(C_S_Digital[[#This Row],[Efecto]]="Probabilidad",1-C_S_Digital[[#This Row],[Peso]],1),IF(C_S_Digital[[#This Row],[Efecto]]="Probabilidad",U41*(1-C_S_Digital[[#This Row],[Peso]]),U41)),"")</f>
        <v/>
      </c>
      <c r="V42" s="144" t="str">
        <f>IFERROR(IF(C_S_Digital[[#This Row],[Código riesgo]]&lt;&gt;C41,_xlfn.XLOOKUP(C_S_Digital[[#This Row],[Código riesgo]],R_S_Digital[Código Riesgo],#REF!,,0)*IF(C_S_Digital[[#This Row],[Efecto]]="Impacto",1-C_S_Digital[[#This Row],[Peso]],1),IF(C_S_Digital[[#This Row],[Efecto]]="Impacto",V41*(1-C_S_Digital[[#This Row],[Peso]]),V41)),"")</f>
        <v/>
      </c>
      <c r="AI42" s="4"/>
      <c r="AJ42" s="4"/>
      <c r="AK42" s="4"/>
      <c r="AL42" s="4"/>
      <c r="AM42" s="4"/>
      <c r="AN42" s="4"/>
      <c r="AO42" s="4"/>
      <c r="AP42" s="4"/>
      <c r="AQ42" s="4"/>
      <c r="AR42" s="4"/>
      <c r="AS42" s="4"/>
      <c r="AT42" s="4"/>
      <c r="AU42" s="4"/>
      <c r="AV42" s="4"/>
      <c r="AW42" s="4"/>
    </row>
    <row r="43" spans="1:49" x14ac:dyDescent="0.25">
      <c r="A43" s="3">
        <v>38</v>
      </c>
      <c r="B43" s="85" t="e">
        <f>Mapa_RSD!#REF!</f>
        <v>#REF!</v>
      </c>
      <c r="C43" s="136" t="e">
        <f>+R_S_Digital[[#This Row],[Código Riesgo]]</f>
        <v>#VALUE!</v>
      </c>
      <c r="D43" s="75"/>
      <c r="E43" s="141" t="str">
        <f>IF(C_S_Digital[[#This Row],[Responsable de ejecutar]]&lt;&gt;"",CONCATENATE(C_S_Digital[[#This Row],[Código riesgo]],"-",IF(C_S_Digital[[#This Row],[Código riesgo]]&lt;&gt;C42,1,RIGHT(E42,1)+1)),"")</f>
        <v/>
      </c>
      <c r="F43" s="142"/>
      <c r="G43" s="142"/>
      <c r="H43" s="142"/>
      <c r="I43" s="141" t="s">
        <v>105</v>
      </c>
      <c r="J43" s="141" t="s">
        <v>65</v>
      </c>
      <c r="K43" s="141"/>
      <c r="L43" s="141"/>
      <c r="M43" s="141"/>
      <c r="N43" s="141"/>
      <c r="O43" s="142"/>
      <c r="P43" s="142"/>
      <c r="Q43" s="145"/>
      <c r="R43" s="145"/>
      <c r="S43" s="137">
        <f>_xlfn.XLOOKUP(CONCATENATE(C_S_Digital[[#This Row],[Momento de ejecución]],C_S_Digital[[#This Row],[Forma de ejecución]]),C_Atributos,C_Peso,"",0)</f>
        <v>0.25</v>
      </c>
      <c r="T43" s="141" t="str">
        <f>IFERROR(_xlfn.XLOOKUP(C_S_Digital[[#This Row],[Momento de ejecución]],C_Momento,C_Efecto,,0),"")</f>
        <v>Impacto</v>
      </c>
      <c r="U43" s="143" t="str">
        <f>IFERROR(IF(C_S_Digital[[#This Row],[Código riesgo]]&lt;&gt;C42,_xlfn.XLOOKUP(C43,R_S_Digital[Código Riesgo],#REF!,,0)*IF(C_S_Digital[[#This Row],[Efecto]]="Probabilidad",1-C_S_Digital[[#This Row],[Peso]],1),IF(C_S_Digital[[#This Row],[Efecto]]="Probabilidad",U42*(1-C_S_Digital[[#This Row],[Peso]]),U42)),"")</f>
        <v/>
      </c>
      <c r="V43" s="144" t="str">
        <f>IFERROR(IF(C_S_Digital[[#This Row],[Código riesgo]]&lt;&gt;C42,_xlfn.XLOOKUP(C_S_Digital[[#This Row],[Código riesgo]],R_S_Digital[Código Riesgo],#REF!,,0)*IF(C_S_Digital[[#This Row],[Efecto]]="Impacto",1-C_S_Digital[[#This Row],[Peso]],1),IF(C_S_Digital[[#This Row],[Efecto]]="Impacto",V42*(1-C_S_Digital[[#This Row],[Peso]]),V42)),"")</f>
        <v/>
      </c>
      <c r="AI43" s="4"/>
      <c r="AJ43" s="4"/>
      <c r="AK43" s="4"/>
      <c r="AL43" s="4"/>
      <c r="AM43" s="4"/>
      <c r="AN43" s="4"/>
      <c r="AO43" s="4"/>
      <c r="AP43" s="4"/>
      <c r="AQ43" s="4"/>
      <c r="AR43" s="4"/>
      <c r="AS43" s="4"/>
      <c r="AT43" s="4"/>
      <c r="AU43" s="4"/>
      <c r="AV43" s="4"/>
      <c r="AW43" s="4"/>
    </row>
    <row r="44" spans="1:49" x14ac:dyDescent="0.25">
      <c r="A44" s="3">
        <v>39</v>
      </c>
      <c r="B44" s="85" t="e">
        <f>Mapa_RSD!#REF!</f>
        <v>#REF!</v>
      </c>
      <c r="C44" s="136" t="e">
        <f>+R_S_Digital[[#This Row],[Código Riesgo]]</f>
        <v>#VALUE!</v>
      </c>
      <c r="D44" s="75"/>
      <c r="E44" s="141" t="str">
        <f>IF(C_S_Digital[[#This Row],[Responsable de ejecutar]]&lt;&gt;"",CONCATENATE(C_S_Digital[[#This Row],[Código riesgo]],"-",IF(C_S_Digital[[#This Row],[Código riesgo]]&lt;&gt;C43,1,RIGHT(E43,1)+1)),"")</f>
        <v/>
      </c>
      <c r="F44" s="142"/>
      <c r="G44" s="142"/>
      <c r="H44" s="142"/>
      <c r="I44" s="141" t="s">
        <v>105</v>
      </c>
      <c r="J44" s="141" t="s">
        <v>65</v>
      </c>
      <c r="K44" s="141"/>
      <c r="L44" s="141"/>
      <c r="M44" s="141"/>
      <c r="N44" s="141"/>
      <c r="O44" s="142"/>
      <c r="P44" s="142"/>
      <c r="Q44" s="145"/>
      <c r="R44" s="145"/>
      <c r="S44" s="137">
        <f>_xlfn.XLOOKUP(CONCATENATE(C_S_Digital[[#This Row],[Momento de ejecución]],C_S_Digital[[#This Row],[Forma de ejecución]]),C_Atributos,C_Peso,"",0)</f>
        <v>0.25</v>
      </c>
      <c r="T44" s="141" t="str">
        <f>IFERROR(_xlfn.XLOOKUP(C_S_Digital[[#This Row],[Momento de ejecución]],C_Momento,C_Efecto,,0),"")</f>
        <v>Impacto</v>
      </c>
      <c r="U44" s="143" t="str">
        <f>IFERROR(IF(C_S_Digital[[#This Row],[Código riesgo]]&lt;&gt;C43,_xlfn.XLOOKUP(C44,R_S_Digital[Código Riesgo],#REF!,,0)*IF(C_S_Digital[[#This Row],[Efecto]]="Probabilidad",1-C_S_Digital[[#This Row],[Peso]],1),IF(C_S_Digital[[#This Row],[Efecto]]="Probabilidad",U43*(1-C_S_Digital[[#This Row],[Peso]]),U43)),"")</f>
        <v/>
      </c>
      <c r="V44" s="144" t="str">
        <f>IFERROR(IF(C_S_Digital[[#This Row],[Código riesgo]]&lt;&gt;C43,_xlfn.XLOOKUP(C_S_Digital[[#This Row],[Código riesgo]],R_S_Digital[Código Riesgo],#REF!,,0)*IF(C_S_Digital[[#This Row],[Efecto]]="Impacto",1-C_S_Digital[[#This Row],[Peso]],1),IF(C_S_Digital[[#This Row],[Efecto]]="Impacto",V43*(1-C_S_Digital[[#This Row],[Peso]]),V43)),"")</f>
        <v/>
      </c>
      <c r="AI44" s="4"/>
      <c r="AJ44" s="4"/>
      <c r="AK44" s="4"/>
      <c r="AL44" s="4"/>
      <c r="AM44" s="4"/>
      <c r="AN44" s="4"/>
      <c r="AO44" s="4"/>
      <c r="AP44" s="4"/>
      <c r="AQ44" s="4"/>
      <c r="AR44" s="4"/>
      <c r="AS44" s="4"/>
      <c r="AT44" s="4"/>
      <c r="AU44" s="4"/>
      <c r="AV44" s="4"/>
      <c r="AW44" s="4"/>
    </row>
    <row r="45" spans="1:49" x14ac:dyDescent="0.25">
      <c r="A45" s="3">
        <v>40</v>
      </c>
      <c r="B45" s="85" t="e">
        <f>Mapa_RSD!#REF!</f>
        <v>#REF!</v>
      </c>
      <c r="C45" s="136" t="e">
        <f>+R_S_Digital[[#This Row],[Código Riesgo]]</f>
        <v>#VALUE!</v>
      </c>
      <c r="D45" s="75"/>
      <c r="E45" s="141" t="str">
        <f>IF(C_S_Digital[[#This Row],[Responsable de ejecutar]]&lt;&gt;"",CONCATENATE(C_S_Digital[[#This Row],[Código riesgo]],"-",IF(C_S_Digital[[#This Row],[Código riesgo]]&lt;&gt;C44,1,RIGHT(E44,1)+1)),"")</f>
        <v/>
      </c>
      <c r="F45" s="142"/>
      <c r="G45" s="142"/>
      <c r="H45" s="142"/>
      <c r="I45" s="141" t="s">
        <v>105</v>
      </c>
      <c r="J45" s="141" t="s">
        <v>65</v>
      </c>
      <c r="K45" s="141"/>
      <c r="L45" s="141"/>
      <c r="M45" s="141"/>
      <c r="N45" s="141"/>
      <c r="O45" s="142"/>
      <c r="P45" s="142"/>
      <c r="Q45" s="145"/>
      <c r="R45" s="145"/>
      <c r="S45" s="137">
        <f>_xlfn.XLOOKUP(CONCATENATE(C_S_Digital[[#This Row],[Momento de ejecución]],C_S_Digital[[#This Row],[Forma de ejecución]]),C_Atributos,C_Peso,"",0)</f>
        <v>0.25</v>
      </c>
      <c r="T45" s="141" t="str">
        <f>IFERROR(_xlfn.XLOOKUP(C_S_Digital[[#This Row],[Momento de ejecución]],C_Momento,C_Efecto,,0),"")</f>
        <v>Impacto</v>
      </c>
      <c r="U45" s="143" t="str">
        <f>IFERROR(IF(C_S_Digital[[#This Row],[Código riesgo]]&lt;&gt;C44,_xlfn.XLOOKUP(C45,R_S_Digital[Código Riesgo],#REF!,,0)*IF(C_S_Digital[[#This Row],[Efecto]]="Probabilidad",1-C_S_Digital[[#This Row],[Peso]],1),IF(C_S_Digital[[#This Row],[Efecto]]="Probabilidad",U44*(1-C_S_Digital[[#This Row],[Peso]]),U44)),"")</f>
        <v/>
      </c>
      <c r="V45" s="144" t="str">
        <f>IFERROR(IF(C_S_Digital[[#This Row],[Código riesgo]]&lt;&gt;C44,_xlfn.XLOOKUP(C_S_Digital[[#This Row],[Código riesgo]],R_S_Digital[Código Riesgo],#REF!,,0)*IF(C_S_Digital[[#This Row],[Efecto]]="Impacto",1-C_S_Digital[[#This Row],[Peso]],1),IF(C_S_Digital[[#This Row],[Efecto]]="Impacto",V44*(1-C_S_Digital[[#This Row],[Peso]]),V44)),"")</f>
        <v/>
      </c>
      <c r="AI45" s="4"/>
      <c r="AJ45" s="4"/>
      <c r="AK45" s="4"/>
      <c r="AL45" s="4"/>
      <c r="AM45" s="4"/>
      <c r="AN45" s="4"/>
      <c r="AO45" s="4"/>
      <c r="AP45" s="4"/>
      <c r="AQ45" s="4"/>
      <c r="AR45" s="4"/>
      <c r="AS45" s="4"/>
      <c r="AT45" s="4"/>
      <c r="AU45" s="4"/>
      <c r="AV45" s="4"/>
      <c r="AW45" s="4"/>
    </row>
    <row r="46" spans="1:49" x14ac:dyDescent="0.25">
      <c r="A46" s="3">
        <v>41</v>
      </c>
      <c r="B46" s="85" t="e">
        <f>Mapa_RSD!#REF!</f>
        <v>#REF!</v>
      </c>
      <c r="C46" s="136" t="e">
        <f>+R_S_Digital[[#This Row],[Código Riesgo]]</f>
        <v>#VALUE!</v>
      </c>
      <c r="D46" s="75"/>
      <c r="E46" s="141" t="str">
        <f>IF(C_S_Digital[[#This Row],[Responsable de ejecutar]]&lt;&gt;"",CONCATENATE(C_S_Digital[[#This Row],[Código riesgo]],"-",IF(C_S_Digital[[#This Row],[Código riesgo]]&lt;&gt;C45,1,RIGHT(E45,1)+1)),"")</f>
        <v/>
      </c>
      <c r="F46" s="142"/>
      <c r="G46" s="142"/>
      <c r="H46" s="142"/>
      <c r="I46" s="141" t="s">
        <v>105</v>
      </c>
      <c r="J46" s="141" t="s">
        <v>65</v>
      </c>
      <c r="K46" s="141"/>
      <c r="L46" s="141"/>
      <c r="M46" s="141"/>
      <c r="N46" s="141"/>
      <c r="O46" s="142"/>
      <c r="P46" s="142"/>
      <c r="Q46" s="145"/>
      <c r="R46" s="145"/>
      <c r="S46" s="137">
        <f>_xlfn.XLOOKUP(CONCATENATE(C_S_Digital[[#This Row],[Momento de ejecución]],C_S_Digital[[#This Row],[Forma de ejecución]]),C_Atributos,C_Peso,"",0)</f>
        <v>0.25</v>
      </c>
      <c r="T46" s="141" t="str">
        <f>IFERROR(_xlfn.XLOOKUP(C_S_Digital[[#This Row],[Momento de ejecución]],C_Momento,C_Efecto,,0),"")</f>
        <v>Impacto</v>
      </c>
      <c r="U46" s="143" t="str">
        <f>IFERROR(IF(C_S_Digital[[#This Row],[Código riesgo]]&lt;&gt;C45,_xlfn.XLOOKUP(C46,R_S_Digital[Código Riesgo],#REF!,,0)*IF(C_S_Digital[[#This Row],[Efecto]]="Probabilidad",1-C_S_Digital[[#This Row],[Peso]],1),IF(C_S_Digital[[#This Row],[Efecto]]="Probabilidad",U45*(1-C_S_Digital[[#This Row],[Peso]]),U45)),"")</f>
        <v/>
      </c>
      <c r="V46" s="144" t="str">
        <f>IFERROR(IF(C_S_Digital[[#This Row],[Código riesgo]]&lt;&gt;C45,_xlfn.XLOOKUP(C_S_Digital[[#This Row],[Código riesgo]],R_S_Digital[Código Riesgo],#REF!,,0)*IF(C_S_Digital[[#This Row],[Efecto]]="Impacto",1-C_S_Digital[[#This Row],[Peso]],1),IF(C_S_Digital[[#This Row],[Efecto]]="Impacto",V45*(1-C_S_Digital[[#This Row],[Peso]]),V45)),"")</f>
        <v/>
      </c>
      <c r="AI46" s="4"/>
      <c r="AJ46" s="4"/>
      <c r="AK46" s="4"/>
      <c r="AL46" s="4"/>
      <c r="AM46" s="4"/>
      <c r="AN46" s="4"/>
      <c r="AO46" s="4"/>
      <c r="AP46" s="4"/>
      <c r="AQ46" s="4"/>
      <c r="AR46" s="4"/>
      <c r="AS46" s="4"/>
      <c r="AT46" s="4"/>
      <c r="AU46" s="4"/>
      <c r="AV46" s="4"/>
      <c r="AW46" s="4"/>
    </row>
    <row r="47" spans="1:49" x14ac:dyDescent="0.25">
      <c r="A47" s="3">
        <v>42</v>
      </c>
      <c r="B47" s="85" t="e">
        <f>Mapa_RSD!#REF!</f>
        <v>#REF!</v>
      </c>
      <c r="C47" s="136" t="e">
        <f>+R_S_Digital[[#This Row],[Código Riesgo]]</f>
        <v>#VALUE!</v>
      </c>
      <c r="D47" s="75"/>
      <c r="E47" s="141" t="str">
        <f>IF(C_S_Digital[[#This Row],[Responsable de ejecutar]]&lt;&gt;"",CONCATENATE(C_S_Digital[[#This Row],[Código riesgo]],"-",IF(C_S_Digital[[#This Row],[Código riesgo]]&lt;&gt;C46,1,RIGHT(E46,1)+1)),"")</f>
        <v/>
      </c>
      <c r="F47" s="142"/>
      <c r="G47" s="142"/>
      <c r="H47" s="142"/>
      <c r="I47" s="141" t="s">
        <v>105</v>
      </c>
      <c r="J47" s="141" t="s">
        <v>65</v>
      </c>
      <c r="K47" s="141"/>
      <c r="L47" s="141"/>
      <c r="M47" s="141"/>
      <c r="N47" s="141"/>
      <c r="O47" s="142"/>
      <c r="P47" s="142"/>
      <c r="Q47" s="145"/>
      <c r="R47" s="145"/>
      <c r="S47" s="137">
        <f>_xlfn.XLOOKUP(CONCATENATE(C_S_Digital[[#This Row],[Momento de ejecución]],C_S_Digital[[#This Row],[Forma de ejecución]]),C_Atributos,C_Peso,"",0)</f>
        <v>0.25</v>
      </c>
      <c r="T47" s="141" t="str">
        <f>IFERROR(_xlfn.XLOOKUP(C_S_Digital[[#This Row],[Momento de ejecución]],C_Momento,C_Efecto,,0),"")</f>
        <v>Impacto</v>
      </c>
      <c r="U47" s="143" t="str">
        <f>IFERROR(IF(C_S_Digital[[#This Row],[Código riesgo]]&lt;&gt;C46,_xlfn.XLOOKUP(C47,R_S_Digital[Código Riesgo],#REF!,,0)*IF(C_S_Digital[[#This Row],[Efecto]]="Probabilidad",1-C_S_Digital[[#This Row],[Peso]],1),IF(C_S_Digital[[#This Row],[Efecto]]="Probabilidad",U46*(1-C_S_Digital[[#This Row],[Peso]]),U46)),"")</f>
        <v/>
      </c>
      <c r="V47" s="144" t="str">
        <f>IFERROR(IF(C_S_Digital[[#This Row],[Código riesgo]]&lt;&gt;C46,_xlfn.XLOOKUP(C_S_Digital[[#This Row],[Código riesgo]],R_S_Digital[Código Riesgo],#REF!,,0)*IF(C_S_Digital[[#This Row],[Efecto]]="Impacto",1-C_S_Digital[[#This Row],[Peso]],1),IF(C_S_Digital[[#This Row],[Efecto]]="Impacto",V46*(1-C_S_Digital[[#This Row],[Peso]]),V46)),"")</f>
        <v/>
      </c>
      <c r="AI47" s="4"/>
      <c r="AJ47" s="4"/>
      <c r="AK47" s="4"/>
      <c r="AL47" s="4"/>
      <c r="AM47" s="4"/>
      <c r="AN47" s="4"/>
      <c r="AO47" s="4"/>
      <c r="AP47" s="4"/>
      <c r="AQ47" s="4"/>
      <c r="AR47" s="4"/>
      <c r="AS47" s="4"/>
      <c r="AT47" s="4"/>
      <c r="AU47" s="4"/>
      <c r="AV47" s="4"/>
      <c r="AW47" s="4"/>
    </row>
    <row r="48" spans="1:49" x14ac:dyDescent="0.25">
      <c r="A48" s="3">
        <v>43</v>
      </c>
      <c r="B48" s="85" t="e">
        <f>Mapa_RSD!#REF!</f>
        <v>#REF!</v>
      </c>
      <c r="C48" s="136" t="e">
        <f>+R_S_Digital[[#This Row],[Código Riesgo]]</f>
        <v>#VALUE!</v>
      </c>
      <c r="D48" s="75"/>
      <c r="E48" s="141" t="str">
        <f>IF(C_S_Digital[[#This Row],[Responsable de ejecutar]]&lt;&gt;"",CONCATENATE(C_S_Digital[[#This Row],[Código riesgo]],"-",IF(C_S_Digital[[#This Row],[Código riesgo]]&lt;&gt;C47,1,RIGHT(E47,1)+1)),"")</f>
        <v/>
      </c>
      <c r="F48" s="142"/>
      <c r="G48" s="142"/>
      <c r="H48" s="142"/>
      <c r="I48" s="141" t="s">
        <v>105</v>
      </c>
      <c r="J48" s="141" t="s">
        <v>65</v>
      </c>
      <c r="K48" s="141"/>
      <c r="L48" s="141"/>
      <c r="M48" s="141"/>
      <c r="N48" s="3"/>
      <c r="O48" s="142"/>
      <c r="P48" s="142"/>
      <c r="Q48" s="145"/>
      <c r="R48" s="145"/>
      <c r="S48" s="137">
        <f>_xlfn.XLOOKUP(CONCATENATE(C_S_Digital[[#This Row],[Momento de ejecución]],C_S_Digital[[#This Row],[Forma de ejecución]]),C_Atributos,C_Peso,"",0)</f>
        <v>0.25</v>
      </c>
      <c r="T48" s="141" t="str">
        <f>IFERROR(_xlfn.XLOOKUP(C_S_Digital[[#This Row],[Momento de ejecución]],C_Momento,C_Efecto,,0),"")</f>
        <v>Impacto</v>
      </c>
      <c r="U48" s="143" t="str">
        <f>IFERROR(IF(C_S_Digital[[#This Row],[Código riesgo]]&lt;&gt;C47,_xlfn.XLOOKUP(C48,R_S_Digital[Código Riesgo],#REF!,,0)*IF(C_S_Digital[[#This Row],[Efecto]]="Probabilidad",1-C_S_Digital[[#This Row],[Peso]],1),IF(C_S_Digital[[#This Row],[Efecto]]="Probabilidad",U47*(1-C_S_Digital[[#This Row],[Peso]]),U47)),"")</f>
        <v/>
      </c>
      <c r="V48" s="144" t="str">
        <f>IFERROR(IF(C_S_Digital[[#This Row],[Código riesgo]]&lt;&gt;C47,_xlfn.XLOOKUP(C_S_Digital[[#This Row],[Código riesgo]],R_S_Digital[Código Riesgo],#REF!,,0)*IF(C_S_Digital[[#This Row],[Efecto]]="Impacto",1-C_S_Digital[[#This Row],[Peso]],1),IF(C_S_Digital[[#This Row],[Efecto]]="Impacto",V47*(1-C_S_Digital[[#This Row],[Peso]]),V47)),"")</f>
        <v/>
      </c>
    </row>
    <row r="49" spans="1:22" x14ac:dyDescent="0.25">
      <c r="A49" s="3">
        <v>44</v>
      </c>
      <c r="B49" s="85" t="e">
        <f>Mapa_RSD!#REF!</f>
        <v>#REF!</v>
      </c>
      <c r="C49" s="136" t="e">
        <f>+R_S_Digital[[#This Row],[Código Riesgo]]</f>
        <v>#VALUE!</v>
      </c>
      <c r="D49" s="75"/>
      <c r="E49" s="141" t="str">
        <f>IF(C_S_Digital[[#This Row],[Responsable de ejecutar]]&lt;&gt;"",CONCATENATE(C_S_Digital[[#This Row],[Código riesgo]],"-",IF(C_S_Digital[[#This Row],[Código riesgo]]&lt;&gt;C48,1,RIGHT(E48,1)+1)),"")</f>
        <v/>
      </c>
      <c r="F49" s="142"/>
      <c r="G49" s="142"/>
      <c r="H49" s="142"/>
      <c r="I49" s="141" t="s">
        <v>105</v>
      </c>
      <c r="J49" s="141" t="s">
        <v>65</v>
      </c>
      <c r="K49" s="141"/>
      <c r="L49" s="141"/>
      <c r="M49" s="141"/>
      <c r="N49" s="141"/>
      <c r="O49" s="142"/>
      <c r="P49" s="142"/>
      <c r="Q49" s="145"/>
      <c r="R49" s="145"/>
      <c r="S49" s="137">
        <f>_xlfn.XLOOKUP(CONCATENATE(C_S_Digital[[#This Row],[Momento de ejecución]],C_S_Digital[[#This Row],[Forma de ejecución]]),C_Atributos,C_Peso,"",0)</f>
        <v>0.25</v>
      </c>
      <c r="T49" s="141" t="str">
        <f>IFERROR(_xlfn.XLOOKUP(C_S_Digital[[#This Row],[Momento de ejecución]],C_Momento,C_Efecto,,0),"")</f>
        <v>Impacto</v>
      </c>
      <c r="U49" s="143" t="str">
        <f>IFERROR(IF(C_S_Digital[[#This Row],[Código riesgo]]&lt;&gt;C48,_xlfn.XLOOKUP(C49,R_S_Digital[Código Riesgo],#REF!,,0)*IF(C_S_Digital[[#This Row],[Efecto]]="Probabilidad",1-C_S_Digital[[#This Row],[Peso]],1),IF(C_S_Digital[[#This Row],[Efecto]]="Probabilidad",U48*(1-C_S_Digital[[#This Row],[Peso]]),U48)),"")</f>
        <v/>
      </c>
      <c r="V49" s="144" t="str">
        <f>IFERROR(IF(C_S_Digital[[#This Row],[Código riesgo]]&lt;&gt;C48,_xlfn.XLOOKUP(C_S_Digital[[#This Row],[Código riesgo]],R_S_Digital[Código Riesgo],#REF!,,0)*IF(C_S_Digital[[#This Row],[Efecto]]="Impacto",1-C_S_Digital[[#This Row],[Peso]],1),IF(C_S_Digital[[#This Row],[Efecto]]="Impacto",V48*(1-C_S_Digital[[#This Row],[Peso]]),V48)),"")</f>
        <v/>
      </c>
    </row>
    <row r="50" spans="1:22" x14ac:dyDescent="0.25">
      <c r="A50" s="3">
        <v>45</v>
      </c>
      <c r="B50" s="85" t="e">
        <f>Mapa_RSD!#REF!</f>
        <v>#REF!</v>
      </c>
      <c r="C50" s="136" t="e">
        <f>+R_S_Digital[[#This Row],[Código Riesgo]]</f>
        <v>#VALUE!</v>
      </c>
      <c r="D50" s="75"/>
      <c r="E50" s="141" t="str">
        <f>IF(C_S_Digital[[#This Row],[Responsable de ejecutar]]&lt;&gt;"",CONCATENATE(C_S_Digital[[#This Row],[Código riesgo]],"-",IF(C_S_Digital[[#This Row],[Código riesgo]]&lt;&gt;C49,1,RIGHT(E49,1)+1)),"")</f>
        <v/>
      </c>
      <c r="F50" s="142"/>
      <c r="G50" s="142"/>
      <c r="H50" s="142"/>
      <c r="I50" s="141" t="s">
        <v>105</v>
      </c>
      <c r="J50" s="141" t="s">
        <v>65</v>
      </c>
      <c r="K50" s="141"/>
      <c r="L50" s="141"/>
      <c r="M50" s="141"/>
      <c r="N50" s="141"/>
      <c r="O50" s="142"/>
      <c r="P50" s="142"/>
      <c r="Q50" s="145"/>
      <c r="R50" s="145"/>
      <c r="S50" s="137">
        <f>_xlfn.XLOOKUP(CONCATENATE(C_S_Digital[[#This Row],[Momento de ejecución]],C_S_Digital[[#This Row],[Forma de ejecución]]),C_Atributos,C_Peso,"",0)</f>
        <v>0.25</v>
      </c>
      <c r="T50" s="141" t="str">
        <f>IFERROR(_xlfn.XLOOKUP(C_S_Digital[[#This Row],[Momento de ejecución]],C_Momento,C_Efecto,,0),"")</f>
        <v>Impacto</v>
      </c>
      <c r="U50" s="143" t="str">
        <f>IFERROR(IF(C_S_Digital[[#This Row],[Código riesgo]]&lt;&gt;C49,_xlfn.XLOOKUP(C50,R_S_Digital[Código Riesgo],#REF!,,0)*IF(C_S_Digital[[#This Row],[Efecto]]="Probabilidad",1-C_S_Digital[[#This Row],[Peso]],1),IF(C_S_Digital[[#This Row],[Efecto]]="Probabilidad",U49*(1-C_S_Digital[[#This Row],[Peso]]),U49)),"")</f>
        <v/>
      </c>
      <c r="V50" s="144" t="str">
        <f>IFERROR(IF(C_S_Digital[[#This Row],[Código riesgo]]&lt;&gt;C49,_xlfn.XLOOKUP(C_S_Digital[[#This Row],[Código riesgo]],R_S_Digital[Código Riesgo],#REF!,,0)*IF(C_S_Digital[[#This Row],[Efecto]]="Impacto",1-C_S_Digital[[#This Row],[Peso]],1),IF(C_S_Digital[[#This Row],[Efecto]]="Impacto",V49*(1-C_S_Digital[[#This Row],[Peso]]),V49)),"")</f>
        <v/>
      </c>
    </row>
    <row r="51" spans="1:22" x14ac:dyDescent="0.25">
      <c r="A51" s="3">
        <v>46</v>
      </c>
      <c r="B51" s="85" t="e">
        <f>Mapa_RSD!#REF!</f>
        <v>#REF!</v>
      </c>
      <c r="C51" s="136" t="e">
        <f>+R_S_Digital[[#This Row],[Código Riesgo]]</f>
        <v>#VALUE!</v>
      </c>
      <c r="D51" s="75"/>
      <c r="E51" s="141" t="str">
        <f>IF(C_S_Digital[[#This Row],[Responsable de ejecutar]]&lt;&gt;"",CONCATENATE(C_S_Digital[[#This Row],[Código riesgo]],"-",IF(C_S_Digital[[#This Row],[Código riesgo]]&lt;&gt;C50,1,RIGHT(E50,1)+1)),"")</f>
        <v/>
      </c>
      <c r="F51" s="142"/>
      <c r="G51" s="142"/>
      <c r="H51" s="142"/>
      <c r="I51" s="141" t="s">
        <v>105</v>
      </c>
      <c r="J51" s="141" t="s">
        <v>65</v>
      </c>
      <c r="K51" s="141"/>
      <c r="L51" s="141"/>
      <c r="M51" s="141"/>
      <c r="N51" s="141"/>
      <c r="O51" s="142"/>
      <c r="P51" s="142"/>
      <c r="Q51" s="145"/>
      <c r="R51" s="145"/>
      <c r="S51" s="137">
        <f>_xlfn.XLOOKUP(CONCATENATE(C_S_Digital[[#This Row],[Momento de ejecución]],C_S_Digital[[#This Row],[Forma de ejecución]]),C_Atributos,C_Peso,"",0)</f>
        <v>0.25</v>
      </c>
      <c r="T51" s="141" t="str">
        <f>IFERROR(_xlfn.XLOOKUP(C_S_Digital[[#This Row],[Momento de ejecución]],C_Momento,C_Efecto,,0),"")</f>
        <v>Impacto</v>
      </c>
      <c r="U51" s="143" t="str">
        <f>IFERROR(IF(C_S_Digital[[#This Row],[Código riesgo]]&lt;&gt;C50,_xlfn.XLOOKUP(C51,R_S_Digital[Código Riesgo],#REF!,,0)*IF(C_S_Digital[[#This Row],[Efecto]]="Probabilidad",1-C_S_Digital[[#This Row],[Peso]],1),IF(C_S_Digital[[#This Row],[Efecto]]="Probabilidad",U50*(1-C_S_Digital[[#This Row],[Peso]]),U50)),"")</f>
        <v/>
      </c>
      <c r="V51" s="144" t="str">
        <f>IFERROR(IF(C_S_Digital[[#This Row],[Código riesgo]]&lt;&gt;C50,_xlfn.XLOOKUP(C_S_Digital[[#This Row],[Código riesgo]],R_S_Digital[Código Riesgo],#REF!,,0)*IF(C_S_Digital[[#This Row],[Efecto]]="Impacto",1-C_S_Digital[[#This Row],[Peso]],1),IF(C_S_Digital[[#This Row],[Efecto]]="Impacto",V50*(1-C_S_Digital[[#This Row],[Peso]]),V50)),"")</f>
        <v/>
      </c>
    </row>
    <row r="52" spans="1:22" x14ac:dyDescent="0.25">
      <c r="A52" s="3">
        <v>47</v>
      </c>
      <c r="B52" s="85" t="e">
        <f>Mapa_RSD!#REF!</f>
        <v>#REF!</v>
      </c>
      <c r="C52" s="136" t="e">
        <f>+R_S_Digital[[#This Row],[Código Riesgo]]</f>
        <v>#VALUE!</v>
      </c>
      <c r="D52" s="75"/>
      <c r="E52" s="141" t="str">
        <f>IF(C_S_Digital[[#This Row],[Responsable de ejecutar]]&lt;&gt;"",CONCATENATE(C_S_Digital[[#This Row],[Código riesgo]],"-",IF(C_S_Digital[[#This Row],[Código riesgo]]&lt;&gt;C51,1,RIGHT(E51,1)+1)),"")</f>
        <v/>
      </c>
      <c r="F52" s="142"/>
      <c r="G52" s="142"/>
      <c r="H52" s="142"/>
      <c r="I52" s="141" t="s">
        <v>105</v>
      </c>
      <c r="J52" s="141" t="s">
        <v>65</v>
      </c>
      <c r="K52" s="141"/>
      <c r="L52" s="141"/>
      <c r="M52" s="141"/>
      <c r="N52" s="141"/>
      <c r="O52" s="142"/>
      <c r="P52" s="142"/>
      <c r="Q52" s="145"/>
      <c r="R52" s="145"/>
      <c r="S52" s="137">
        <f>_xlfn.XLOOKUP(CONCATENATE(C_S_Digital[[#This Row],[Momento de ejecución]],C_S_Digital[[#This Row],[Forma de ejecución]]),C_Atributos,C_Peso,"",0)</f>
        <v>0.25</v>
      </c>
      <c r="T52" s="141" t="str">
        <f>IFERROR(_xlfn.XLOOKUP(C_S_Digital[[#This Row],[Momento de ejecución]],C_Momento,C_Efecto,,0),"")</f>
        <v>Impacto</v>
      </c>
      <c r="U52" s="143" t="str">
        <f>IFERROR(IF(C_S_Digital[[#This Row],[Código riesgo]]&lt;&gt;C51,_xlfn.XLOOKUP(C52,R_S_Digital[Código Riesgo],#REF!,,0)*IF(C_S_Digital[[#This Row],[Efecto]]="Probabilidad",1-C_S_Digital[[#This Row],[Peso]],1),IF(C_S_Digital[[#This Row],[Efecto]]="Probabilidad",U51*(1-C_S_Digital[[#This Row],[Peso]]),U51)),"")</f>
        <v/>
      </c>
      <c r="V52" s="144" t="str">
        <f>IFERROR(IF(C_S_Digital[[#This Row],[Código riesgo]]&lt;&gt;C51,_xlfn.XLOOKUP(C_S_Digital[[#This Row],[Código riesgo]],R_S_Digital[Código Riesgo],#REF!,,0)*IF(C_S_Digital[[#This Row],[Efecto]]="Impacto",1-C_S_Digital[[#This Row],[Peso]],1),IF(C_S_Digital[[#This Row],[Efecto]]="Impacto",V51*(1-C_S_Digital[[#This Row],[Peso]]),V51)),"")</f>
        <v/>
      </c>
    </row>
    <row r="53" spans="1:22" x14ac:dyDescent="0.25">
      <c r="A53" s="3">
        <v>48</v>
      </c>
      <c r="B53" s="85" t="e">
        <f>Mapa_RSD!#REF!</f>
        <v>#REF!</v>
      </c>
      <c r="C53" s="136" t="e">
        <f>+R_S_Digital[[#This Row],[Código Riesgo]]</f>
        <v>#VALUE!</v>
      </c>
      <c r="D53" s="75"/>
      <c r="E53" s="141" t="str">
        <f>IF(C_S_Digital[[#This Row],[Responsable de ejecutar]]&lt;&gt;"",CONCATENATE(C_S_Digital[[#This Row],[Código riesgo]],"-",IF(C_S_Digital[[#This Row],[Código riesgo]]&lt;&gt;C52,1,RIGHT(E52,1)+1)),"")</f>
        <v/>
      </c>
      <c r="F53" s="142"/>
      <c r="G53" s="142"/>
      <c r="H53" s="142"/>
      <c r="I53" s="141" t="s">
        <v>105</v>
      </c>
      <c r="J53" s="141" t="s">
        <v>65</v>
      </c>
      <c r="K53" s="141"/>
      <c r="L53" s="141"/>
      <c r="M53" s="141"/>
      <c r="N53" s="141"/>
      <c r="O53" s="142"/>
      <c r="P53" s="142"/>
      <c r="Q53" s="145"/>
      <c r="R53" s="145"/>
      <c r="S53" s="137">
        <f>_xlfn.XLOOKUP(CONCATENATE(C_S_Digital[[#This Row],[Momento de ejecución]],C_S_Digital[[#This Row],[Forma de ejecución]]),C_Atributos,C_Peso,"",0)</f>
        <v>0.25</v>
      </c>
      <c r="T53" s="141" t="str">
        <f>IFERROR(_xlfn.XLOOKUP(C_S_Digital[[#This Row],[Momento de ejecución]],C_Momento,C_Efecto,,0),"")</f>
        <v>Impacto</v>
      </c>
      <c r="U53" s="143" t="str">
        <f>IFERROR(IF(C_S_Digital[[#This Row],[Código riesgo]]&lt;&gt;C52,_xlfn.XLOOKUP(C53,R_S_Digital[Código Riesgo],#REF!,,0)*IF(C_S_Digital[[#This Row],[Efecto]]="Probabilidad",1-C_S_Digital[[#This Row],[Peso]],1),IF(C_S_Digital[[#This Row],[Efecto]]="Probabilidad",U52*(1-C_S_Digital[[#This Row],[Peso]]),U52)),"")</f>
        <v/>
      </c>
      <c r="V53" s="144" t="str">
        <f>IFERROR(IF(C_S_Digital[[#This Row],[Código riesgo]]&lt;&gt;C52,_xlfn.XLOOKUP(C_S_Digital[[#This Row],[Código riesgo]],R_S_Digital[Código Riesgo],#REF!,,0)*IF(C_S_Digital[[#This Row],[Efecto]]="Impacto",1-C_S_Digital[[#This Row],[Peso]],1),IF(C_S_Digital[[#This Row],[Efecto]]="Impacto",V52*(1-C_S_Digital[[#This Row],[Peso]]),V52)),"")</f>
        <v/>
      </c>
    </row>
    <row r="54" spans="1:22" x14ac:dyDescent="0.25">
      <c r="A54" s="3">
        <v>49</v>
      </c>
      <c r="B54" s="85" t="e">
        <f>Mapa_RSD!#REF!</f>
        <v>#REF!</v>
      </c>
      <c r="C54" s="136" t="e">
        <f>+R_S_Digital[[#This Row],[Código Riesgo]]</f>
        <v>#VALUE!</v>
      </c>
      <c r="D54" s="75"/>
      <c r="E54" s="141" t="str">
        <f>IF(C_S_Digital[[#This Row],[Responsable de ejecutar]]&lt;&gt;"",CONCATENATE(C_S_Digital[[#This Row],[Código riesgo]],"-",IF(C_S_Digital[[#This Row],[Código riesgo]]&lt;&gt;C53,1,RIGHT(E53,1)+1)),"")</f>
        <v/>
      </c>
      <c r="F54" s="142"/>
      <c r="G54" s="142"/>
      <c r="H54" s="142"/>
      <c r="I54" s="141" t="s">
        <v>105</v>
      </c>
      <c r="J54" s="141" t="s">
        <v>65</v>
      </c>
      <c r="K54" s="141"/>
      <c r="L54" s="141"/>
      <c r="M54" s="141"/>
      <c r="N54" s="141"/>
      <c r="O54" s="142"/>
      <c r="P54" s="142"/>
      <c r="Q54" s="145"/>
      <c r="R54" s="145"/>
      <c r="S54" s="137">
        <f>_xlfn.XLOOKUP(CONCATENATE(C_S_Digital[[#This Row],[Momento de ejecución]],C_S_Digital[[#This Row],[Forma de ejecución]]),C_Atributos,C_Peso,"",0)</f>
        <v>0.25</v>
      </c>
      <c r="T54" s="141" t="str">
        <f>IFERROR(_xlfn.XLOOKUP(C_S_Digital[[#This Row],[Momento de ejecución]],C_Momento,C_Efecto,,0),"")</f>
        <v>Impacto</v>
      </c>
      <c r="U54" s="143" t="str">
        <f>IFERROR(IF(C_S_Digital[[#This Row],[Código riesgo]]&lt;&gt;C53,_xlfn.XLOOKUP(C54,R_S_Digital[Código Riesgo],#REF!,,0)*IF(C_S_Digital[[#This Row],[Efecto]]="Probabilidad",1-C_S_Digital[[#This Row],[Peso]],1),IF(C_S_Digital[[#This Row],[Efecto]]="Probabilidad",U53*(1-C_S_Digital[[#This Row],[Peso]]),U53)),"")</f>
        <v/>
      </c>
      <c r="V54" s="144" t="str">
        <f>IFERROR(IF(C_S_Digital[[#This Row],[Código riesgo]]&lt;&gt;C53,_xlfn.XLOOKUP(C_S_Digital[[#This Row],[Código riesgo]],R_S_Digital[Código Riesgo],#REF!,,0)*IF(C_S_Digital[[#This Row],[Efecto]]="Impacto",1-C_S_Digital[[#This Row],[Peso]],1),IF(C_S_Digital[[#This Row],[Efecto]]="Impacto",V53*(1-C_S_Digital[[#This Row],[Peso]]),V53)),"")</f>
        <v/>
      </c>
    </row>
    <row r="55" spans="1:22" x14ac:dyDescent="0.25">
      <c r="A55" s="3">
        <v>50</v>
      </c>
      <c r="B55" s="85" t="e">
        <f>Mapa_RSD!#REF!</f>
        <v>#REF!</v>
      </c>
      <c r="C55" s="136" t="e">
        <f>+R_S_Digital[[#This Row],[Código Riesgo]]</f>
        <v>#VALUE!</v>
      </c>
      <c r="D55" s="75"/>
      <c r="E55" s="141" t="str">
        <f>IF(C_S_Digital[[#This Row],[Responsable de ejecutar]]&lt;&gt;"",CONCATENATE(C_S_Digital[[#This Row],[Código riesgo]],"-",IF(C_S_Digital[[#This Row],[Código riesgo]]&lt;&gt;C54,1,RIGHT(E54,1)+1)),"")</f>
        <v/>
      </c>
      <c r="F55" s="142"/>
      <c r="G55" s="142"/>
      <c r="H55" s="142"/>
      <c r="I55" s="141" t="s">
        <v>105</v>
      </c>
      <c r="J55" s="141" t="s">
        <v>65</v>
      </c>
      <c r="K55" s="141"/>
      <c r="L55" s="141"/>
      <c r="M55" s="141"/>
      <c r="N55" s="141"/>
      <c r="O55" s="142"/>
      <c r="P55" s="142"/>
      <c r="Q55" s="145"/>
      <c r="R55" s="145"/>
      <c r="S55" s="137">
        <f>_xlfn.XLOOKUP(CONCATENATE(C_S_Digital[[#This Row],[Momento de ejecución]],C_S_Digital[[#This Row],[Forma de ejecución]]),C_Atributos,C_Peso,"",0)</f>
        <v>0.25</v>
      </c>
      <c r="T55" s="141" t="str">
        <f>IFERROR(_xlfn.XLOOKUP(C_S_Digital[[#This Row],[Momento de ejecución]],C_Momento,C_Efecto,,0),"")</f>
        <v>Impacto</v>
      </c>
      <c r="U55" s="143" t="str">
        <f>IFERROR(IF(C_S_Digital[[#This Row],[Código riesgo]]&lt;&gt;C54,_xlfn.XLOOKUP(C55,R_S_Digital[Código Riesgo],#REF!,,0)*IF(C_S_Digital[[#This Row],[Efecto]]="Probabilidad",1-C_S_Digital[[#This Row],[Peso]],1),IF(C_S_Digital[[#This Row],[Efecto]]="Probabilidad",U54*(1-C_S_Digital[[#This Row],[Peso]]),U54)),"")</f>
        <v/>
      </c>
      <c r="V55" s="144" t="str">
        <f>IFERROR(IF(C_S_Digital[[#This Row],[Código riesgo]]&lt;&gt;C54,_xlfn.XLOOKUP(C_S_Digital[[#This Row],[Código riesgo]],R_S_Digital[Código Riesgo],#REF!,,0)*IF(C_S_Digital[[#This Row],[Efecto]]="Impacto",1-C_S_Digital[[#This Row],[Peso]],1),IF(C_S_Digital[[#This Row],[Efecto]]="Impacto",V54*(1-C_S_Digital[[#This Row],[Peso]]),V54)),"")</f>
        <v/>
      </c>
    </row>
    <row r="56" spans="1:22" x14ac:dyDescent="0.25">
      <c r="A56" s="3">
        <v>51</v>
      </c>
      <c r="B56" s="85" t="e">
        <f>Mapa_RSD!#REF!</f>
        <v>#REF!</v>
      </c>
      <c r="C56" s="136" t="e">
        <f>+R_S_Digital[[#This Row],[Código Riesgo]]</f>
        <v>#VALUE!</v>
      </c>
      <c r="D56" s="75"/>
      <c r="E56" s="141" t="str">
        <f>IF(C_S_Digital[[#This Row],[Responsable de ejecutar]]&lt;&gt;"",CONCATENATE(C_S_Digital[[#This Row],[Código riesgo]],"-",IF(C_S_Digital[[#This Row],[Código riesgo]]&lt;&gt;C55,1,RIGHT(E55,1)+1)),"")</f>
        <v/>
      </c>
      <c r="F56" s="142"/>
      <c r="G56" s="142"/>
      <c r="H56" s="142"/>
      <c r="I56" s="141" t="s">
        <v>105</v>
      </c>
      <c r="J56" s="141" t="s">
        <v>65</v>
      </c>
      <c r="K56" s="141"/>
      <c r="L56" s="141"/>
      <c r="M56" s="141"/>
      <c r="N56" s="141"/>
      <c r="O56" s="142"/>
      <c r="P56" s="142"/>
      <c r="Q56" s="145"/>
      <c r="R56" s="145"/>
      <c r="S56" s="137">
        <f>_xlfn.XLOOKUP(CONCATENATE(C_S_Digital[[#This Row],[Momento de ejecución]],C_S_Digital[[#This Row],[Forma de ejecución]]),C_Atributos,C_Peso,"",0)</f>
        <v>0.25</v>
      </c>
      <c r="T56" s="141" t="str">
        <f>IFERROR(_xlfn.XLOOKUP(C_S_Digital[[#This Row],[Momento de ejecución]],C_Momento,C_Efecto,,0),"")</f>
        <v>Impacto</v>
      </c>
      <c r="U56" s="143" t="str">
        <f>IFERROR(IF(C_S_Digital[[#This Row],[Código riesgo]]&lt;&gt;C55,_xlfn.XLOOKUP(C56,R_S_Digital[Código Riesgo],#REF!,,0)*IF(C_S_Digital[[#This Row],[Efecto]]="Probabilidad",1-C_S_Digital[[#This Row],[Peso]],1),IF(C_S_Digital[[#This Row],[Efecto]]="Probabilidad",U55*(1-C_S_Digital[[#This Row],[Peso]]),U55)),"")</f>
        <v/>
      </c>
      <c r="V56" s="144" t="str">
        <f>IFERROR(IF(C_S_Digital[[#This Row],[Código riesgo]]&lt;&gt;C55,_xlfn.XLOOKUP(C_S_Digital[[#This Row],[Código riesgo]],R_S_Digital[Código Riesgo],#REF!,,0)*IF(C_S_Digital[[#This Row],[Efecto]]="Impacto",1-C_S_Digital[[#This Row],[Peso]],1),IF(C_S_Digital[[#This Row],[Efecto]]="Impacto",V55*(1-C_S_Digital[[#This Row],[Peso]]),V55)),"")</f>
        <v/>
      </c>
    </row>
    <row r="57" spans="1:22" x14ac:dyDescent="0.25">
      <c r="A57" s="3">
        <v>52</v>
      </c>
      <c r="B57" s="85" t="e">
        <f>Mapa_RSD!#REF!</f>
        <v>#REF!</v>
      </c>
      <c r="C57" s="136" t="e">
        <f>+R_S_Digital[[#This Row],[Código Riesgo]]</f>
        <v>#VALUE!</v>
      </c>
      <c r="D57" s="75"/>
      <c r="E57" s="141" t="str">
        <f>IF(C_S_Digital[[#This Row],[Responsable de ejecutar]]&lt;&gt;"",CONCATENATE(C_S_Digital[[#This Row],[Código riesgo]],"-",IF(C_S_Digital[[#This Row],[Código riesgo]]&lt;&gt;C56,1,RIGHT(E56,1)+1)),"")</f>
        <v/>
      </c>
      <c r="F57" s="142"/>
      <c r="G57" s="142"/>
      <c r="H57" s="142"/>
      <c r="I57" s="141" t="s">
        <v>105</v>
      </c>
      <c r="J57" s="141" t="s">
        <v>65</v>
      </c>
      <c r="K57" s="141"/>
      <c r="L57" s="141"/>
      <c r="M57" s="141"/>
      <c r="N57" s="141"/>
      <c r="O57" s="142"/>
      <c r="P57" s="142"/>
      <c r="Q57" s="145"/>
      <c r="R57" s="145"/>
      <c r="S57" s="137">
        <f>_xlfn.XLOOKUP(CONCATENATE(C_S_Digital[[#This Row],[Momento de ejecución]],C_S_Digital[[#This Row],[Forma de ejecución]]),C_Atributos,C_Peso,"",0)</f>
        <v>0.25</v>
      </c>
      <c r="T57" s="141" t="str">
        <f>IFERROR(_xlfn.XLOOKUP(C_S_Digital[[#This Row],[Momento de ejecución]],C_Momento,C_Efecto,,0),"")</f>
        <v>Impacto</v>
      </c>
      <c r="U57" s="143" t="str">
        <f>IFERROR(IF(C_S_Digital[[#This Row],[Código riesgo]]&lt;&gt;C56,_xlfn.XLOOKUP(C57,R_S_Digital[Código Riesgo],#REF!,,0)*IF(C_S_Digital[[#This Row],[Efecto]]="Probabilidad",1-C_S_Digital[[#This Row],[Peso]],1),IF(C_S_Digital[[#This Row],[Efecto]]="Probabilidad",U56*(1-C_S_Digital[[#This Row],[Peso]]),U56)),"")</f>
        <v/>
      </c>
      <c r="V57" s="144" t="str">
        <f>IFERROR(IF(C_S_Digital[[#This Row],[Código riesgo]]&lt;&gt;C56,_xlfn.XLOOKUP(C_S_Digital[[#This Row],[Código riesgo]],R_S_Digital[Código Riesgo],#REF!,,0)*IF(C_S_Digital[[#This Row],[Efecto]]="Impacto",1-C_S_Digital[[#This Row],[Peso]],1),IF(C_S_Digital[[#This Row],[Efecto]]="Impacto",V56*(1-C_S_Digital[[#This Row],[Peso]]),V56)),"")</f>
        <v/>
      </c>
    </row>
    <row r="58" spans="1:22" x14ac:dyDescent="0.25">
      <c r="A58" s="3">
        <v>53</v>
      </c>
      <c r="B58" s="85" t="e">
        <f>Mapa_RSD!#REF!</f>
        <v>#REF!</v>
      </c>
      <c r="C58" s="136" t="e">
        <f>+R_S_Digital[[#This Row],[Código Riesgo]]</f>
        <v>#VALUE!</v>
      </c>
      <c r="D58" s="75"/>
      <c r="E58" s="141" t="str">
        <f>IF(C_S_Digital[[#This Row],[Responsable de ejecutar]]&lt;&gt;"",CONCATENATE(C_S_Digital[[#This Row],[Código riesgo]],"-",IF(C_S_Digital[[#This Row],[Código riesgo]]&lt;&gt;C57,1,RIGHT(E57,1)+1)),"")</f>
        <v/>
      </c>
      <c r="F58" s="142"/>
      <c r="G58" s="142"/>
      <c r="H58" s="142"/>
      <c r="I58" s="141" t="s">
        <v>105</v>
      </c>
      <c r="J58" s="141" t="s">
        <v>65</v>
      </c>
      <c r="K58" s="141"/>
      <c r="L58" s="141"/>
      <c r="M58" s="141"/>
      <c r="N58" s="141"/>
      <c r="O58" s="142"/>
      <c r="P58" s="142"/>
      <c r="Q58" s="145"/>
      <c r="R58" s="145"/>
      <c r="S58" s="137">
        <f>_xlfn.XLOOKUP(CONCATENATE(C_S_Digital[[#This Row],[Momento de ejecución]],C_S_Digital[[#This Row],[Forma de ejecución]]),C_Atributos,C_Peso,"",0)</f>
        <v>0.25</v>
      </c>
      <c r="T58" s="141" t="str">
        <f>IFERROR(_xlfn.XLOOKUP(C_S_Digital[[#This Row],[Momento de ejecución]],C_Momento,C_Efecto,,0),"")</f>
        <v>Impacto</v>
      </c>
      <c r="U58" s="143" t="str">
        <f>IFERROR(IF(C_S_Digital[[#This Row],[Código riesgo]]&lt;&gt;C57,_xlfn.XLOOKUP(C58,R_S_Digital[Código Riesgo],#REF!,,0)*IF(C_S_Digital[[#This Row],[Efecto]]="Probabilidad",1-C_S_Digital[[#This Row],[Peso]],1),IF(C_S_Digital[[#This Row],[Efecto]]="Probabilidad",U57*(1-C_S_Digital[[#This Row],[Peso]]),U57)),"")</f>
        <v/>
      </c>
      <c r="V58" s="144" t="str">
        <f>IFERROR(IF(C_S_Digital[[#This Row],[Código riesgo]]&lt;&gt;C57,_xlfn.XLOOKUP(C_S_Digital[[#This Row],[Código riesgo]],R_S_Digital[Código Riesgo],#REF!,,0)*IF(C_S_Digital[[#This Row],[Efecto]]="Impacto",1-C_S_Digital[[#This Row],[Peso]],1),IF(C_S_Digital[[#This Row],[Efecto]]="Impacto",V57*(1-C_S_Digital[[#This Row],[Peso]]),V57)),"")</f>
        <v/>
      </c>
    </row>
    <row r="59" spans="1:22" x14ac:dyDescent="0.25">
      <c r="A59" s="3">
        <v>54</v>
      </c>
      <c r="B59" s="85" t="e">
        <f>Mapa_RSD!#REF!</f>
        <v>#REF!</v>
      </c>
      <c r="C59" s="136" t="e">
        <f>+R_S_Digital[[#This Row],[Código Riesgo]]</f>
        <v>#VALUE!</v>
      </c>
      <c r="D59" s="75"/>
      <c r="E59" s="141" t="str">
        <f>IF(C_S_Digital[[#This Row],[Responsable de ejecutar]]&lt;&gt;"",CONCATENATE(C_S_Digital[[#This Row],[Código riesgo]],"-",IF(C_S_Digital[[#This Row],[Código riesgo]]&lt;&gt;C58,1,RIGHT(E58,1)+1)),"")</f>
        <v/>
      </c>
      <c r="F59" s="142"/>
      <c r="G59" s="142"/>
      <c r="H59" s="142"/>
      <c r="I59" s="141" t="s">
        <v>105</v>
      </c>
      <c r="J59" s="141" t="s">
        <v>65</v>
      </c>
      <c r="K59" s="141"/>
      <c r="L59" s="141"/>
      <c r="M59" s="141"/>
      <c r="N59" s="141"/>
      <c r="O59" s="142"/>
      <c r="P59" s="142"/>
      <c r="Q59" s="145"/>
      <c r="R59" s="145"/>
      <c r="S59" s="137">
        <f>_xlfn.XLOOKUP(CONCATENATE(C_S_Digital[[#This Row],[Momento de ejecución]],C_S_Digital[[#This Row],[Forma de ejecución]]),C_Atributos,C_Peso,"",0)</f>
        <v>0.25</v>
      </c>
      <c r="T59" s="141" t="str">
        <f>IFERROR(_xlfn.XLOOKUP(C_S_Digital[[#This Row],[Momento de ejecución]],C_Momento,C_Efecto,,0),"")</f>
        <v>Impacto</v>
      </c>
      <c r="U59" s="143" t="str">
        <f>IFERROR(IF(C_S_Digital[[#This Row],[Código riesgo]]&lt;&gt;C58,_xlfn.XLOOKUP(C59,R_S_Digital[Código Riesgo],#REF!,,0)*IF(C_S_Digital[[#This Row],[Efecto]]="Probabilidad",1-C_S_Digital[[#This Row],[Peso]],1),IF(C_S_Digital[[#This Row],[Efecto]]="Probabilidad",U58*(1-C_S_Digital[[#This Row],[Peso]]),U58)),"")</f>
        <v/>
      </c>
      <c r="V59" s="144" t="str">
        <f>IFERROR(IF(C_S_Digital[[#This Row],[Código riesgo]]&lt;&gt;C58,_xlfn.XLOOKUP(C_S_Digital[[#This Row],[Código riesgo]],R_S_Digital[Código Riesgo],#REF!,,0)*IF(C_S_Digital[[#This Row],[Efecto]]="Impacto",1-C_S_Digital[[#This Row],[Peso]],1),IF(C_S_Digital[[#This Row],[Efecto]]="Impacto",V58*(1-C_S_Digital[[#This Row],[Peso]]),V58)),"")</f>
        <v/>
      </c>
    </row>
    <row r="60" spans="1:22" x14ac:dyDescent="0.25">
      <c r="A60" s="3">
        <v>55</v>
      </c>
      <c r="B60" s="85" t="e">
        <f>Mapa_RSD!#REF!</f>
        <v>#REF!</v>
      </c>
      <c r="C60" s="136" t="e">
        <f>+R_S_Digital[[#This Row],[Código Riesgo]]</f>
        <v>#VALUE!</v>
      </c>
      <c r="D60" s="75"/>
      <c r="E60" s="141" t="str">
        <f>IF(C_S_Digital[[#This Row],[Responsable de ejecutar]]&lt;&gt;"",CONCATENATE(C_S_Digital[[#This Row],[Código riesgo]],"-",IF(C_S_Digital[[#This Row],[Código riesgo]]&lt;&gt;C59,1,RIGHT(E59,1)+1)),"")</f>
        <v/>
      </c>
      <c r="F60" s="142"/>
      <c r="G60" s="142"/>
      <c r="H60" s="142"/>
      <c r="I60" s="141" t="s">
        <v>105</v>
      </c>
      <c r="J60" s="141" t="s">
        <v>65</v>
      </c>
      <c r="K60" s="141"/>
      <c r="L60" s="141"/>
      <c r="M60" s="141"/>
      <c r="N60" s="141"/>
      <c r="O60" s="142"/>
      <c r="P60" s="142"/>
      <c r="Q60" s="145"/>
      <c r="R60" s="145"/>
      <c r="S60" s="137">
        <f>_xlfn.XLOOKUP(CONCATENATE(C_S_Digital[[#This Row],[Momento de ejecución]],C_S_Digital[[#This Row],[Forma de ejecución]]),C_Atributos,C_Peso,"",0)</f>
        <v>0.25</v>
      </c>
      <c r="T60" s="141" t="str">
        <f>IFERROR(_xlfn.XLOOKUP(C_S_Digital[[#This Row],[Momento de ejecución]],C_Momento,C_Efecto,,0),"")</f>
        <v>Impacto</v>
      </c>
      <c r="U60" s="143" t="str">
        <f>IFERROR(IF(C_S_Digital[[#This Row],[Código riesgo]]&lt;&gt;C59,_xlfn.XLOOKUP(C60,R_S_Digital[Código Riesgo],#REF!,,0)*IF(C_S_Digital[[#This Row],[Efecto]]="Probabilidad",1-C_S_Digital[[#This Row],[Peso]],1),IF(C_S_Digital[[#This Row],[Efecto]]="Probabilidad",U59*(1-C_S_Digital[[#This Row],[Peso]]),U59)),"")</f>
        <v/>
      </c>
      <c r="V60" s="144" t="str">
        <f>IFERROR(IF(C_S_Digital[[#This Row],[Código riesgo]]&lt;&gt;C59,_xlfn.XLOOKUP(C_S_Digital[[#This Row],[Código riesgo]],R_S_Digital[Código Riesgo],#REF!,,0)*IF(C_S_Digital[[#This Row],[Efecto]]="Impacto",1-C_S_Digital[[#This Row],[Peso]],1),IF(C_S_Digital[[#This Row],[Efecto]]="Impacto",V59*(1-C_S_Digital[[#This Row],[Peso]]),V59)),"")</f>
        <v/>
      </c>
    </row>
    <row r="61" spans="1:22" x14ac:dyDescent="0.25">
      <c r="A61" s="3">
        <v>56</v>
      </c>
      <c r="B61" s="85" t="e">
        <f>Mapa_RSD!#REF!</f>
        <v>#REF!</v>
      </c>
      <c r="C61" s="136" t="e">
        <f>+R_S_Digital[[#This Row],[Código Riesgo]]</f>
        <v>#VALUE!</v>
      </c>
      <c r="D61" s="75"/>
      <c r="E61" s="141" t="str">
        <f>IF(C_S_Digital[[#This Row],[Responsable de ejecutar]]&lt;&gt;"",CONCATENATE(C_S_Digital[[#This Row],[Código riesgo]],"-",IF(C_S_Digital[[#This Row],[Código riesgo]]&lt;&gt;C60,1,RIGHT(E60,1)+1)),"")</f>
        <v/>
      </c>
      <c r="F61" s="142"/>
      <c r="G61" s="142"/>
      <c r="H61" s="142"/>
      <c r="I61" s="141" t="s">
        <v>105</v>
      </c>
      <c r="J61" s="141" t="s">
        <v>65</v>
      </c>
      <c r="K61" s="141"/>
      <c r="L61" s="141"/>
      <c r="M61" s="141"/>
      <c r="N61" s="141"/>
      <c r="O61" s="142"/>
      <c r="P61" s="142"/>
      <c r="Q61" s="145"/>
      <c r="R61" s="145"/>
      <c r="S61" s="137">
        <f>_xlfn.XLOOKUP(CONCATENATE(C_S_Digital[[#This Row],[Momento de ejecución]],C_S_Digital[[#This Row],[Forma de ejecución]]),C_Atributos,C_Peso,"",0)</f>
        <v>0.25</v>
      </c>
      <c r="T61" s="141" t="str">
        <f>IFERROR(_xlfn.XLOOKUP(C_S_Digital[[#This Row],[Momento de ejecución]],C_Momento,C_Efecto,,0),"")</f>
        <v>Impacto</v>
      </c>
      <c r="U61" s="143" t="str">
        <f>IFERROR(IF(C_S_Digital[[#This Row],[Código riesgo]]&lt;&gt;C60,_xlfn.XLOOKUP(C61,R_S_Digital[Código Riesgo],#REF!,,0)*IF(C_S_Digital[[#This Row],[Efecto]]="Probabilidad",1-C_S_Digital[[#This Row],[Peso]],1),IF(C_S_Digital[[#This Row],[Efecto]]="Probabilidad",U60*(1-C_S_Digital[[#This Row],[Peso]]),U60)),"")</f>
        <v/>
      </c>
      <c r="V61" s="144" t="str">
        <f>IFERROR(IF(C_S_Digital[[#This Row],[Código riesgo]]&lt;&gt;C60,_xlfn.XLOOKUP(C_S_Digital[[#This Row],[Código riesgo]],R_S_Digital[Código Riesgo],#REF!,,0)*IF(C_S_Digital[[#This Row],[Efecto]]="Impacto",1-C_S_Digital[[#This Row],[Peso]],1),IF(C_S_Digital[[#This Row],[Efecto]]="Impacto",V60*(1-C_S_Digital[[#This Row],[Peso]]),V60)),"")</f>
        <v/>
      </c>
    </row>
    <row r="62" spans="1:22" x14ac:dyDescent="0.25">
      <c r="A62" s="3">
        <v>57</v>
      </c>
      <c r="B62" s="85" t="e">
        <f>Mapa_RSD!#REF!</f>
        <v>#REF!</v>
      </c>
      <c r="C62" s="136" t="e">
        <f>+R_S_Digital[[#This Row],[Código Riesgo]]</f>
        <v>#VALUE!</v>
      </c>
      <c r="D62" s="75"/>
      <c r="E62" s="141" t="str">
        <f>IF(C_S_Digital[[#This Row],[Responsable de ejecutar]]&lt;&gt;"",CONCATENATE(C_S_Digital[[#This Row],[Código riesgo]],"-",IF(C_S_Digital[[#This Row],[Código riesgo]]&lt;&gt;C61,1,RIGHT(E61,1)+1)),"")</f>
        <v/>
      </c>
      <c r="F62" s="142"/>
      <c r="G62" s="142"/>
      <c r="H62" s="142"/>
      <c r="I62" s="141" t="s">
        <v>105</v>
      </c>
      <c r="J62" s="141" t="s">
        <v>65</v>
      </c>
      <c r="K62" s="141"/>
      <c r="L62" s="141"/>
      <c r="M62" s="141"/>
      <c r="N62" s="141"/>
      <c r="O62" s="142"/>
      <c r="P62" s="142"/>
      <c r="Q62" s="145"/>
      <c r="R62" s="145"/>
      <c r="S62" s="137">
        <f>_xlfn.XLOOKUP(CONCATENATE(C_S_Digital[[#This Row],[Momento de ejecución]],C_S_Digital[[#This Row],[Forma de ejecución]]),C_Atributos,C_Peso,"",0)</f>
        <v>0.25</v>
      </c>
      <c r="T62" s="141" t="str">
        <f>IFERROR(_xlfn.XLOOKUP(C_S_Digital[[#This Row],[Momento de ejecución]],C_Momento,C_Efecto,,0),"")</f>
        <v>Impacto</v>
      </c>
      <c r="U62" s="143" t="str">
        <f>IFERROR(IF(C_S_Digital[[#This Row],[Código riesgo]]&lt;&gt;C61,_xlfn.XLOOKUP(C62,R_S_Digital[Código Riesgo],#REF!,,0)*IF(C_S_Digital[[#This Row],[Efecto]]="Probabilidad",1-C_S_Digital[[#This Row],[Peso]],1),IF(C_S_Digital[[#This Row],[Efecto]]="Probabilidad",U61*(1-C_S_Digital[[#This Row],[Peso]]),U61)),"")</f>
        <v/>
      </c>
      <c r="V62" s="144" t="str">
        <f>IFERROR(IF(C_S_Digital[[#This Row],[Código riesgo]]&lt;&gt;C61,_xlfn.XLOOKUP(C_S_Digital[[#This Row],[Código riesgo]],R_S_Digital[Código Riesgo],#REF!,,0)*IF(C_S_Digital[[#This Row],[Efecto]]="Impacto",1-C_S_Digital[[#This Row],[Peso]],1),IF(C_S_Digital[[#This Row],[Efecto]]="Impacto",V61*(1-C_S_Digital[[#This Row],[Peso]]),V61)),"")</f>
        <v/>
      </c>
    </row>
    <row r="63" spans="1:22" x14ac:dyDescent="0.25">
      <c r="A63" s="3">
        <v>58</v>
      </c>
      <c r="B63" s="85" t="e">
        <f>Mapa_RSD!#REF!</f>
        <v>#REF!</v>
      </c>
      <c r="C63" s="136" t="e">
        <f>+R_S_Digital[[#This Row],[Código Riesgo]]</f>
        <v>#VALUE!</v>
      </c>
      <c r="D63" s="75"/>
      <c r="E63" s="141" t="str">
        <f>IF(C_S_Digital[[#This Row],[Responsable de ejecutar]]&lt;&gt;"",CONCATENATE(C_S_Digital[[#This Row],[Código riesgo]],"-",IF(C_S_Digital[[#This Row],[Código riesgo]]&lt;&gt;C62,1,RIGHT(E62,1)+1)),"")</f>
        <v/>
      </c>
      <c r="F63" s="142"/>
      <c r="G63" s="142"/>
      <c r="H63" s="142"/>
      <c r="I63" s="141" t="s">
        <v>105</v>
      </c>
      <c r="J63" s="141" t="s">
        <v>65</v>
      </c>
      <c r="K63" s="141"/>
      <c r="L63" s="141"/>
      <c r="M63" s="141"/>
      <c r="N63" s="141"/>
      <c r="O63" s="142"/>
      <c r="P63" s="142"/>
      <c r="Q63" s="145"/>
      <c r="R63" s="145"/>
      <c r="S63" s="137">
        <f>_xlfn.XLOOKUP(CONCATENATE(C_S_Digital[[#This Row],[Momento de ejecución]],C_S_Digital[[#This Row],[Forma de ejecución]]),C_Atributos,C_Peso,"",0)</f>
        <v>0.25</v>
      </c>
      <c r="T63" s="141" t="str">
        <f>IFERROR(_xlfn.XLOOKUP(C_S_Digital[[#This Row],[Momento de ejecución]],C_Momento,C_Efecto,,0),"")</f>
        <v>Impacto</v>
      </c>
      <c r="U63" s="143" t="str">
        <f>IFERROR(IF(C_S_Digital[[#This Row],[Código riesgo]]&lt;&gt;C62,_xlfn.XLOOKUP(C63,R_S_Digital[Código Riesgo],#REF!,,0)*IF(C_S_Digital[[#This Row],[Efecto]]="Probabilidad",1-C_S_Digital[[#This Row],[Peso]],1),IF(C_S_Digital[[#This Row],[Efecto]]="Probabilidad",U62*(1-C_S_Digital[[#This Row],[Peso]]),U62)),"")</f>
        <v/>
      </c>
      <c r="V63" s="144" t="str">
        <f>IFERROR(IF(C_S_Digital[[#This Row],[Código riesgo]]&lt;&gt;C62,_xlfn.XLOOKUP(C_S_Digital[[#This Row],[Código riesgo]],R_S_Digital[Código Riesgo],#REF!,,0)*IF(C_S_Digital[[#This Row],[Efecto]]="Impacto",1-C_S_Digital[[#This Row],[Peso]],1),IF(C_S_Digital[[#This Row],[Efecto]]="Impacto",V62*(1-C_S_Digital[[#This Row],[Peso]]),V62)),"")</f>
        <v/>
      </c>
    </row>
    <row r="64" spans="1:22" x14ac:dyDescent="0.25">
      <c r="A64" s="3">
        <v>59</v>
      </c>
      <c r="B64" s="85">
        <f>Mapa_RSD!B42</f>
        <v>0</v>
      </c>
      <c r="C64" s="136" t="e">
        <f>+R_S_Digital[[#This Row],[Código Riesgo]]</f>
        <v>#VALUE!</v>
      </c>
      <c r="D64" s="75"/>
      <c r="E64" s="141" t="str">
        <f>IF(C_S_Digital[[#This Row],[Responsable de ejecutar]]&lt;&gt;"",CONCATENATE(C_S_Digital[[#This Row],[Código riesgo]],"-",IF(C_S_Digital[[#This Row],[Código riesgo]]&lt;&gt;C63,1,RIGHT(E63,1)+1)),"")</f>
        <v/>
      </c>
      <c r="F64" s="142"/>
      <c r="G64" s="142"/>
      <c r="H64" s="142"/>
      <c r="I64" s="141" t="s">
        <v>105</v>
      </c>
      <c r="J64" s="141" t="s">
        <v>65</v>
      </c>
      <c r="K64" s="141"/>
      <c r="L64" s="141"/>
      <c r="M64" s="141"/>
      <c r="N64" s="141"/>
      <c r="O64" s="142"/>
      <c r="P64" s="142"/>
      <c r="Q64" s="145"/>
      <c r="R64" s="145"/>
      <c r="S64" s="137">
        <f>_xlfn.XLOOKUP(CONCATENATE(C_S_Digital[[#This Row],[Momento de ejecución]],C_S_Digital[[#This Row],[Forma de ejecución]]),C_Atributos,C_Peso,"",0)</f>
        <v>0.25</v>
      </c>
      <c r="T64" s="141" t="str">
        <f>IFERROR(_xlfn.XLOOKUP(C_S_Digital[[#This Row],[Momento de ejecución]],C_Momento,C_Efecto,,0),"")</f>
        <v>Impacto</v>
      </c>
      <c r="U64" s="143" t="str">
        <f>IFERROR(IF(C_S_Digital[[#This Row],[Código riesgo]]&lt;&gt;C63,_xlfn.XLOOKUP(C64,R_S_Digital[Código Riesgo],#REF!,,0)*IF(C_S_Digital[[#This Row],[Efecto]]="Probabilidad",1-C_S_Digital[[#This Row],[Peso]],1),IF(C_S_Digital[[#This Row],[Efecto]]="Probabilidad",U63*(1-C_S_Digital[[#This Row],[Peso]]),U63)),"")</f>
        <v/>
      </c>
      <c r="V64" s="144" t="str">
        <f>IFERROR(IF(C_S_Digital[[#This Row],[Código riesgo]]&lt;&gt;C63,_xlfn.XLOOKUP(C_S_Digital[[#This Row],[Código riesgo]],R_S_Digital[Código Riesgo],#REF!,,0)*IF(C_S_Digital[[#This Row],[Efecto]]="Impacto",1-C_S_Digital[[#This Row],[Peso]],1),IF(C_S_Digital[[#This Row],[Efecto]]="Impacto",V63*(1-C_S_Digital[[#This Row],[Peso]]),V63)),"")</f>
        <v/>
      </c>
    </row>
    <row r="65" spans="1:49" x14ac:dyDescent="0.25">
      <c r="A65" s="3">
        <v>60</v>
      </c>
      <c r="B65" s="85">
        <f>Mapa_RSD!B43</f>
        <v>0</v>
      </c>
      <c r="C65" s="136" t="e">
        <f>+R_S_Digital[[#This Row],[Código Riesgo]]</f>
        <v>#VALUE!</v>
      </c>
      <c r="D65" s="75"/>
      <c r="E65" s="141" t="str">
        <f>IF(C_S_Digital[[#This Row],[Responsable de ejecutar]]&lt;&gt;"",CONCATENATE(C_S_Digital[[#This Row],[Código riesgo]],"-",IF(C_S_Digital[[#This Row],[Código riesgo]]&lt;&gt;C64,1,RIGHT(E64,1)+1)),"")</f>
        <v/>
      </c>
      <c r="F65" s="142"/>
      <c r="G65" s="142"/>
      <c r="H65" s="142"/>
      <c r="I65" s="141" t="s">
        <v>105</v>
      </c>
      <c r="J65" s="141" t="s">
        <v>65</v>
      </c>
      <c r="K65" s="141"/>
      <c r="L65" s="141"/>
      <c r="M65" s="141"/>
      <c r="N65" s="141"/>
      <c r="O65" s="142"/>
      <c r="P65" s="142"/>
      <c r="Q65" s="145"/>
      <c r="R65" s="145"/>
      <c r="S65" s="137">
        <f>_xlfn.XLOOKUP(CONCATENATE(C_S_Digital[[#This Row],[Momento de ejecución]],C_S_Digital[[#This Row],[Forma de ejecución]]),C_Atributos,C_Peso,"",0)</f>
        <v>0.25</v>
      </c>
      <c r="T65" s="141" t="str">
        <f>IFERROR(_xlfn.XLOOKUP(C_S_Digital[[#This Row],[Momento de ejecución]],C_Momento,C_Efecto,,0),"")</f>
        <v>Impacto</v>
      </c>
      <c r="U65" s="143" t="str">
        <f>IFERROR(IF(C_S_Digital[[#This Row],[Código riesgo]]&lt;&gt;C64,_xlfn.XLOOKUP(C65,R_S_Digital[Código Riesgo],#REF!,,0)*IF(C_S_Digital[[#This Row],[Efecto]]="Probabilidad",1-C_S_Digital[[#This Row],[Peso]],1),IF(C_S_Digital[[#This Row],[Efecto]]="Probabilidad",U64*(1-C_S_Digital[[#This Row],[Peso]]),U64)),"")</f>
        <v/>
      </c>
      <c r="V65" s="144" t="str">
        <f>IFERROR(IF(C_S_Digital[[#This Row],[Código riesgo]]&lt;&gt;C64,_xlfn.XLOOKUP(C_S_Digital[[#This Row],[Código riesgo]],R_S_Digital[Código Riesgo],#REF!,,0)*IF(C_S_Digital[[#This Row],[Efecto]]="Impacto",1-C_S_Digital[[#This Row],[Peso]],1),IF(C_S_Digital[[#This Row],[Efecto]]="Impacto",V64*(1-C_S_Digital[[#This Row],[Peso]]),V64)),"")</f>
        <v/>
      </c>
    </row>
    <row r="66" spans="1:49" x14ac:dyDescent="0.25">
      <c r="A66" s="3">
        <v>61</v>
      </c>
      <c r="B66" s="85">
        <f>Mapa_RSD!B44</f>
        <v>0</v>
      </c>
      <c r="C66" s="136" t="e">
        <f>+R_S_Digital[[#This Row],[Código Riesgo]]</f>
        <v>#VALUE!</v>
      </c>
      <c r="D66" s="75"/>
      <c r="E66" s="141" t="str">
        <f>IF(C_S_Digital[[#This Row],[Responsable de ejecutar]]&lt;&gt;"",CONCATENATE(C_S_Digital[[#This Row],[Código riesgo]],"-",IF(C_S_Digital[[#This Row],[Código riesgo]]&lt;&gt;C65,1,RIGHT(E65,1)+1)),"")</f>
        <v/>
      </c>
      <c r="F66" s="142"/>
      <c r="G66" s="142"/>
      <c r="H66" s="142"/>
      <c r="I66" s="141" t="s">
        <v>105</v>
      </c>
      <c r="J66" s="141" t="s">
        <v>65</v>
      </c>
      <c r="K66" s="141"/>
      <c r="L66" s="141"/>
      <c r="M66" s="141"/>
      <c r="N66" s="141"/>
      <c r="O66" s="142"/>
      <c r="P66" s="142"/>
      <c r="Q66" s="145"/>
      <c r="R66" s="145"/>
      <c r="S66" s="137">
        <f>_xlfn.XLOOKUP(CONCATENATE(C_S_Digital[[#This Row],[Momento de ejecución]],C_S_Digital[[#This Row],[Forma de ejecución]]),C_Atributos,C_Peso,"",0)</f>
        <v>0.25</v>
      </c>
      <c r="T66" s="141" t="str">
        <f>IFERROR(_xlfn.XLOOKUP(C_S_Digital[[#This Row],[Momento de ejecución]],C_Momento,C_Efecto,,0),"")</f>
        <v>Impacto</v>
      </c>
      <c r="U66" s="143" t="str">
        <f>IFERROR(IF(C_S_Digital[[#This Row],[Código riesgo]]&lt;&gt;C65,_xlfn.XLOOKUP(C66,R_S_Digital[Código Riesgo],#REF!,,0)*IF(C_S_Digital[[#This Row],[Efecto]]="Probabilidad",1-C_S_Digital[[#This Row],[Peso]],1),IF(C_S_Digital[[#This Row],[Efecto]]="Probabilidad",U65*(1-C_S_Digital[[#This Row],[Peso]]),U65)),"")</f>
        <v/>
      </c>
      <c r="V66" s="144" t="str">
        <f>IFERROR(IF(C_S_Digital[[#This Row],[Código riesgo]]&lt;&gt;C65,_xlfn.XLOOKUP(C_S_Digital[[#This Row],[Código riesgo]],R_S_Digital[Código Riesgo],#REF!,,0)*IF(C_S_Digital[[#This Row],[Efecto]]="Impacto",1-C_S_Digital[[#This Row],[Peso]],1),IF(C_S_Digital[[#This Row],[Efecto]]="Impacto",V65*(1-C_S_Digital[[#This Row],[Peso]]),V65)),"")</f>
        <v/>
      </c>
    </row>
    <row r="67" spans="1:49" x14ac:dyDescent="0.25">
      <c r="A67" s="3">
        <v>62</v>
      </c>
      <c r="B67" s="85">
        <f>Mapa_RSD!B45</f>
        <v>0</v>
      </c>
      <c r="C67" s="136" t="e">
        <f>+R_S_Digital[[#This Row],[Código Riesgo]]</f>
        <v>#VALUE!</v>
      </c>
      <c r="D67" s="75"/>
      <c r="E67" s="141" t="str">
        <f>IF(C_S_Digital[[#This Row],[Responsable de ejecutar]]&lt;&gt;"",CONCATENATE(C_S_Digital[[#This Row],[Código riesgo]],"-",IF(C_S_Digital[[#This Row],[Código riesgo]]&lt;&gt;C66,1,RIGHT(E66,1)+1)),"")</f>
        <v/>
      </c>
      <c r="F67" s="142"/>
      <c r="G67" s="142"/>
      <c r="H67" s="142"/>
      <c r="I67" s="141" t="s">
        <v>105</v>
      </c>
      <c r="J67" s="141" t="s">
        <v>65</v>
      </c>
      <c r="K67" s="141"/>
      <c r="L67" s="141"/>
      <c r="M67" s="141"/>
      <c r="N67" s="141"/>
      <c r="O67" s="142"/>
      <c r="P67" s="142"/>
      <c r="Q67" s="145"/>
      <c r="R67" s="145"/>
      <c r="S67" s="137">
        <f>_xlfn.XLOOKUP(CONCATENATE(C_S_Digital[[#This Row],[Momento de ejecución]],C_S_Digital[[#This Row],[Forma de ejecución]]),C_Atributos,C_Peso,"",0)</f>
        <v>0.25</v>
      </c>
      <c r="T67" s="141" t="str">
        <f>IFERROR(_xlfn.XLOOKUP(C_S_Digital[[#This Row],[Momento de ejecución]],C_Momento,C_Efecto,,0),"")</f>
        <v>Impacto</v>
      </c>
      <c r="U67" s="143" t="str">
        <f>IFERROR(IF(C_S_Digital[[#This Row],[Código riesgo]]&lt;&gt;C66,_xlfn.XLOOKUP(C67,R_S_Digital[Código Riesgo],#REF!,,0)*IF(C_S_Digital[[#This Row],[Efecto]]="Probabilidad",1-C_S_Digital[[#This Row],[Peso]],1),IF(C_S_Digital[[#This Row],[Efecto]]="Probabilidad",U66*(1-C_S_Digital[[#This Row],[Peso]]),U66)),"")</f>
        <v/>
      </c>
      <c r="V67" s="144" t="str">
        <f>IFERROR(IF(C_S_Digital[[#This Row],[Código riesgo]]&lt;&gt;C66,_xlfn.XLOOKUP(C_S_Digital[[#This Row],[Código riesgo]],R_S_Digital[Código Riesgo],#REF!,,0)*IF(C_S_Digital[[#This Row],[Efecto]]="Impacto",1-C_S_Digital[[#This Row],[Peso]],1),IF(C_S_Digital[[#This Row],[Efecto]]="Impacto",V66*(1-C_S_Digital[[#This Row],[Peso]]),V66)),"")</f>
        <v/>
      </c>
    </row>
    <row r="68" spans="1:49" x14ac:dyDescent="0.25">
      <c r="A68" s="3">
        <v>63</v>
      </c>
      <c r="B68" s="85">
        <f>Mapa_RSD!B46</f>
        <v>0</v>
      </c>
      <c r="C68" s="136" t="e">
        <f>+R_S_Digital[[#This Row],[Código Riesgo]]</f>
        <v>#VALUE!</v>
      </c>
      <c r="D68" s="75"/>
      <c r="E68" s="141" t="str">
        <f>IF(C_S_Digital[[#This Row],[Responsable de ejecutar]]&lt;&gt;"",CONCATENATE(C_S_Digital[[#This Row],[Código riesgo]],"-",IF(C_S_Digital[[#This Row],[Código riesgo]]&lt;&gt;C67,1,RIGHT(E67,1)+1)),"")</f>
        <v/>
      </c>
      <c r="F68" s="142"/>
      <c r="G68" s="142"/>
      <c r="H68" s="142"/>
      <c r="I68" s="141" t="s">
        <v>105</v>
      </c>
      <c r="J68" s="141" t="s">
        <v>65</v>
      </c>
      <c r="K68" s="141"/>
      <c r="L68" s="141"/>
      <c r="M68" s="141"/>
      <c r="N68" s="141"/>
      <c r="O68" s="142"/>
      <c r="P68" s="142"/>
      <c r="Q68" s="145"/>
      <c r="R68" s="145"/>
      <c r="S68" s="137">
        <f>_xlfn.XLOOKUP(CONCATENATE(C_S_Digital[[#This Row],[Momento de ejecución]],C_S_Digital[[#This Row],[Forma de ejecución]]),C_Atributos,C_Peso,"",0)</f>
        <v>0.25</v>
      </c>
      <c r="T68" s="141" t="str">
        <f>IFERROR(_xlfn.XLOOKUP(C_S_Digital[[#This Row],[Momento de ejecución]],C_Momento,C_Efecto,,0),"")</f>
        <v>Impacto</v>
      </c>
      <c r="U68" s="143" t="str">
        <f>IFERROR(IF(C_S_Digital[[#This Row],[Código riesgo]]&lt;&gt;C67,_xlfn.XLOOKUP(C68,R_S_Digital[Código Riesgo],#REF!,,0)*IF(C_S_Digital[[#This Row],[Efecto]]="Probabilidad",1-C_S_Digital[[#This Row],[Peso]],1),IF(C_S_Digital[[#This Row],[Efecto]]="Probabilidad",U67*(1-C_S_Digital[[#This Row],[Peso]]),U67)),"")</f>
        <v/>
      </c>
      <c r="V68" s="144" t="str">
        <f>IFERROR(IF(C_S_Digital[[#This Row],[Código riesgo]]&lt;&gt;C67,_xlfn.XLOOKUP(C_S_Digital[[#This Row],[Código riesgo]],R_S_Digital[Código Riesgo],#REF!,,0)*IF(C_S_Digital[[#This Row],[Efecto]]="Impacto",1-C_S_Digital[[#This Row],[Peso]],1),IF(C_S_Digital[[#This Row],[Efecto]]="Impacto",V67*(1-C_S_Digital[[#This Row],[Peso]]),V67)),"")</f>
        <v/>
      </c>
    </row>
    <row r="69" spans="1:49" x14ac:dyDescent="0.25">
      <c r="A69" s="3">
        <v>64</v>
      </c>
      <c r="B69" s="85">
        <f>Mapa_RSD!B47</f>
        <v>0</v>
      </c>
      <c r="C69" s="136" t="e">
        <f>+R_S_Digital[[#This Row],[Código Riesgo]]</f>
        <v>#VALUE!</v>
      </c>
      <c r="D69" s="75"/>
      <c r="E69" s="141" t="str">
        <f>IF(C_S_Digital[[#This Row],[Responsable de ejecutar]]&lt;&gt;"",CONCATENATE(C_S_Digital[[#This Row],[Código riesgo]],"-",IF(C_S_Digital[[#This Row],[Código riesgo]]&lt;&gt;C68,1,RIGHT(E68,1)+1)),"")</f>
        <v/>
      </c>
      <c r="F69" s="142"/>
      <c r="G69" s="142"/>
      <c r="H69" s="142"/>
      <c r="I69" s="141" t="s">
        <v>105</v>
      </c>
      <c r="J69" s="141" t="s">
        <v>65</v>
      </c>
      <c r="K69" s="141"/>
      <c r="L69" s="141"/>
      <c r="M69" s="141"/>
      <c r="N69" s="141"/>
      <c r="O69" s="142"/>
      <c r="P69" s="142"/>
      <c r="Q69" s="145"/>
      <c r="R69" s="145"/>
      <c r="S69" s="137">
        <f>_xlfn.XLOOKUP(CONCATENATE(C_S_Digital[[#This Row],[Momento de ejecución]],C_S_Digital[[#This Row],[Forma de ejecución]]),C_Atributos,C_Peso,"",0)</f>
        <v>0.25</v>
      </c>
      <c r="T69" s="141" t="str">
        <f>IFERROR(_xlfn.XLOOKUP(C_S_Digital[[#This Row],[Momento de ejecución]],C_Momento,C_Efecto,,0),"")</f>
        <v>Impacto</v>
      </c>
      <c r="U69" s="143" t="str">
        <f>IFERROR(IF(C_S_Digital[[#This Row],[Código riesgo]]&lt;&gt;C68,_xlfn.XLOOKUP(C69,R_S_Digital[Código Riesgo],#REF!,,0)*IF(C_S_Digital[[#This Row],[Efecto]]="Probabilidad",1-C_S_Digital[[#This Row],[Peso]],1),IF(C_S_Digital[[#This Row],[Efecto]]="Probabilidad",U68*(1-C_S_Digital[[#This Row],[Peso]]),U68)),"")</f>
        <v/>
      </c>
      <c r="V69" s="144" t="str">
        <f>IFERROR(IF(C_S_Digital[[#This Row],[Código riesgo]]&lt;&gt;C68,_xlfn.XLOOKUP(C_S_Digital[[#This Row],[Código riesgo]],R_S_Digital[Código Riesgo],#REF!,,0)*IF(C_S_Digital[[#This Row],[Efecto]]="Impacto",1-C_S_Digital[[#This Row],[Peso]],1),IF(C_S_Digital[[#This Row],[Efecto]]="Impacto",V68*(1-C_S_Digital[[#This Row],[Peso]]),V68)),"")</f>
        <v/>
      </c>
    </row>
    <row r="70" spans="1:49" x14ac:dyDescent="0.25">
      <c r="A70" s="3">
        <v>65</v>
      </c>
      <c r="B70" s="85">
        <f>Mapa_RSD!B48</f>
        <v>0</v>
      </c>
      <c r="C70" s="136" t="e">
        <f>+R_S_Digital[[#This Row],[Código Riesgo]]</f>
        <v>#VALUE!</v>
      </c>
      <c r="D70" s="75"/>
      <c r="E70" s="141" t="str">
        <f>IF(C_S_Digital[[#This Row],[Responsable de ejecutar]]&lt;&gt;"",CONCATENATE(C_S_Digital[[#This Row],[Código riesgo]],"-",IF(C_S_Digital[[#This Row],[Código riesgo]]&lt;&gt;C69,1,RIGHT(E69,1)+1)),"")</f>
        <v/>
      </c>
      <c r="F70" s="142"/>
      <c r="G70" s="142"/>
      <c r="H70" s="142"/>
      <c r="I70" s="141" t="s">
        <v>105</v>
      </c>
      <c r="J70" s="141" t="s">
        <v>65</v>
      </c>
      <c r="K70" s="141"/>
      <c r="L70" s="141"/>
      <c r="M70" s="141"/>
      <c r="N70" s="141"/>
      <c r="O70" s="142"/>
      <c r="P70" s="142"/>
      <c r="Q70" s="145"/>
      <c r="R70" s="145"/>
      <c r="S70" s="137">
        <f>_xlfn.XLOOKUP(CONCATENATE(C_S_Digital[[#This Row],[Momento de ejecución]],C_S_Digital[[#This Row],[Forma de ejecución]]),C_Atributos,C_Peso,"",0)</f>
        <v>0.25</v>
      </c>
      <c r="T70" s="141" t="str">
        <f>IFERROR(_xlfn.XLOOKUP(C_S_Digital[[#This Row],[Momento de ejecución]],C_Momento,C_Efecto,,0),"")</f>
        <v>Impacto</v>
      </c>
      <c r="U70" s="143" t="str">
        <f>IFERROR(IF(C_S_Digital[[#This Row],[Código riesgo]]&lt;&gt;C69,_xlfn.XLOOKUP(C70,R_S_Digital[Código Riesgo],#REF!,,0)*IF(C_S_Digital[[#This Row],[Efecto]]="Probabilidad",1-C_S_Digital[[#This Row],[Peso]],1),IF(C_S_Digital[[#This Row],[Efecto]]="Probabilidad",U69*(1-C_S_Digital[[#This Row],[Peso]]),U69)),"")</f>
        <v/>
      </c>
      <c r="V70" s="144" t="str">
        <f>IFERROR(IF(C_S_Digital[[#This Row],[Código riesgo]]&lt;&gt;C69,_xlfn.XLOOKUP(C_S_Digital[[#This Row],[Código riesgo]],R_S_Digital[Código Riesgo],#REF!,,0)*IF(C_S_Digital[[#This Row],[Efecto]]="Impacto",1-C_S_Digital[[#This Row],[Peso]],1),IF(C_S_Digital[[#This Row],[Efecto]]="Impacto",V69*(1-C_S_Digital[[#This Row],[Peso]]),V69)),"")</f>
        <v/>
      </c>
    </row>
    <row r="71" spans="1:49" x14ac:dyDescent="0.25">
      <c r="A71" s="3">
        <v>66</v>
      </c>
      <c r="B71" s="85">
        <f>Mapa_RSD!B49</f>
        <v>0</v>
      </c>
      <c r="C71" s="136" t="e">
        <f>+R_S_Digital[[#This Row],[Código Riesgo]]</f>
        <v>#VALUE!</v>
      </c>
      <c r="D71" s="75"/>
      <c r="E71" s="141" t="str">
        <f>IF(C_S_Digital[[#This Row],[Responsable de ejecutar]]&lt;&gt;"",CONCATENATE(C_S_Digital[[#This Row],[Código riesgo]],"-",IF(C_S_Digital[[#This Row],[Código riesgo]]&lt;&gt;C70,1,RIGHT(E70,1)+1)),"")</f>
        <v/>
      </c>
      <c r="F71" s="142"/>
      <c r="G71" s="142"/>
      <c r="H71" s="142"/>
      <c r="I71" s="141" t="s">
        <v>105</v>
      </c>
      <c r="J71" s="141" t="s">
        <v>65</v>
      </c>
      <c r="K71" s="141"/>
      <c r="L71" s="141"/>
      <c r="M71" s="141"/>
      <c r="N71" s="141"/>
      <c r="O71" s="142"/>
      <c r="P71" s="142"/>
      <c r="Q71" s="145"/>
      <c r="R71" s="145"/>
      <c r="S71" s="137">
        <f>_xlfn.XLOOKUP(CONCATENATE(C_S_Digital[[#This Row],[Momento de ejecución]],C_S_Digital[[#This Row],[Forma de ejecución]]),C_Atributos,C_Peso,"",0)</f>
        <v>0.25</v>
      </c>
      <c r="T71" s="141" t="str">
        <f>IFERROR(_xlfn.XLOOKUP(C_S_Digital[[#This Row],[Momento de ejecución]],C_Momento,C_Efecto,,0),"")</f>
        <v>Impacto</v>
      </c>
      <c r="U71" s="143" t="str">
        <f>IFERROR(IF(C_S_Digital[[#This Row],[Código riesgo]]&lt;&gt;C70,_xlfn.XLOOKUP(C71,R_S_Digital[Código Riesgo],#REF!,,0)*IF(C_S_Digital[[#This Row],[Efecto]]="Probabilidad",1-C_S_Digital[[#This Row],[Peso]],1),IF(C_S_Digital[[#This Row],[Efecto]]="Probabilidad",U70*(1-C_S_Digital[[#This Row],[Peso]]),U70)),"")</f>
        <v/>
      </c>
      <c r="V71" s="144" t="str">
        <f>IFERROR(IF(C_S_Digital[[#This Row],[Código riesgo]]&lt;&gt;C70,_xlfn.XLOOKUP(C_S_Digital[[#This Row],[Código riesgo]],R_S_Digital[Código Riesgo],#REF!,,0)*IF(C_S_Digital[[#This Row],[Efecto]]="Impacto",1-C_S_Digital[[#This Row],[Peso]],1),IF(C_S_Digital[[#This Row],[Efecto]]="Impacto",V70*(1-C_S_Digital[[#This Row],[Peso]]),V70)),"")</f>
        <v/>
      </c>
    </row>
    <row r="72" spans="1:49" x14ac:dyDescent="0.25">
      <c r="A72" s="3">
        <v>67</v>
      </c>
      <c r="B72" s="85">
        <f>Mapa_RSD!B50</f>
        <v>0</v>
      </c>
      <c r="C72" s="136" t="e">
        <f>+R_S_Digital[[#This Row],[Código Riesgo]]</f>
        <v>#VALUE!</v>
      </c>
      <c r="D72" s="75"/>
      <c r="E72" s="141" t="str">
        <f>IF(C_S_Digital[[#This Row],[Responsable de ejecutar]]&lt;&gt;"",CONCATENATE(C_S_Digital[[#This Row],[Código riesgo]],"-",IF(C_S_Digital[[#This Row],[Código riesgo]]&lt;&gt;C71,1,RIGHT(E71,1)+1)),"")</f>
        <v/>
      </c>
      <c r="F72" s="142"/>
      <c r="G72" s="142"/>
      <c r="H72" s="142"/>
      <c r="I72" s="141" t="s">
        <v>105</v>
      </c>
      <c r="J72" s="141" t="s">
        <v>65</v>
      </c>
      <c r="K72" s="141"/>
      <c r="L72" s="141"/>
      <c r="M72" s="141"/>
      <c r="N72" s="141"/>
      <c r="O72" s="142"/>
      <c r="P72" s="142"/>
      <c r="Q72" s="145"/>
      <c r="R72" s="146"/>
      <c r="S72" s="137">
        <f>_xlfn.XLOOKUP(CONCATENATE(C_S_Digital[[#This Row],[Momento de ejecución]],C_S_Digital[[#This Row],[Forma de ejecución]]),C_Atributos,C_Peso,"",0)</f>
        <v>0.25</v>
      </c>
      <c r="T72" s="141" t="str">
        <f>IFERROR(_xlfn.XLOOKUP(C_S_Digital[[#This Row],[Momento de ejecución]],C_Momento,C_Efecto,,0),"")</f>
        <v>Impacto</v>
      </c>
      <c r="U72" s="143" t="str">
        <f>IFERROR(IF(C_S_Digital[[#This Row],[Código riesgo]]&lt;&gt;C71,_xlfn.XLOOKUP(C72,R_S_Digital[Código Riesgo],#REF!,,0)*IF(C_S_Digital[[#This Row],[Efecto]]="Probabilidad",1-C_S_Digital[[#This Row],[Peso]],1),IF(C_S_Digital[[#This Row],[Efecto]]="Probabilidad",U71*(1-C_S_Digital[[#This Row],[Peso]]),U71)),"")</f>
        <v/>
      </c>
      <c r="V72" s="144" t="str">
        <f>IFERROR(IF(C_S_Digital[[#This Row],[Código riesgo]]&lt;&gt;C71,_xlfn.XLOOKUP(C_S_Digital[[#This Row],[Código riesgo]],R_S_Digital[Código Riesgo],#REF!,,0)*IF(C_S_Digital[[#This Row],[Efecto]]="Impacto",1-C_S_Digital[[#This Row],[Peso]],1),IF(C_S_Digital[[#This Row],[Efecto]]="Impacto",V71*(1-C_S_Digital[[#This Row],[Peso]]),V71)),"")</f>
        <v/>
      </c>
      <c r="AI72" s="4"/>
      <c r="AJ72" s="4"/>
      <c r="AK72" s="4"/>
      <c r="AL72" s="4"/>
      <c r="AM72" s="4"/>
      <c r="AN72" s="4"/>
      <c r="AO72" s="4"/>
      <c r="AP72" s="4"/>
      <c r="AQ72" s="4"/>
      <c r="AR72" s="4"/>
      <c r="AS72" s="4"/>
      <c r="AT72" s="4"/>
      <c r="AU72" s="4"/>
      <c r="AV72" s="4"/>
      <c r="AW72" s="4"/>
    </row>
    <row r="73" spans="1:49" x14ac:dyDescent="0.25">
      <c r="A73" s="3">
        <v>68</v>
      </c>
      <c r="B73" s="85">
        <f>Mapa_RSD!B51</f>
        <v>0</v>
      </c>
      <c r="C73" s="136" t="e">
        <f>+R_S_Digital[[#This Row],[Código Riesgo]]</f>
        <v>#VALUE!</v>
      </c>
      <c r="D73" s="75"/>
      <c r="E73" s="141" t="str">
        <f>IF(C_S_Digital[[#This Row],[Responsable de ejecutar]]&lt;&gt;"",CONCATENATE(C_S_Digital[[#This Row],[Código riesgo]],"-",IF(C_S_Digital[[#This Row],[Código riesgo]]&lt;&gt;C72,1,RIGHT(E72,1)+1)),"")</f>
        <v/>
      </c>
      <c r="F73" s="142"/>
      <c r="G73" s="142"/>
      <c r="H73" s="142"/>
      <c r="I73" s="141" t="s">
        <v>105</v>
      </c>
      <c r="J73" s="141" t="s">
        <v>65</v>
      </c>
      <c r="K73" s="141"/>
      <c r="L73" s="141"/>
      <c r="M73" s="141"/>
      <c r="N73" s="141"/>
      <c r="O73" s="142"/>
      <c r="P73" s="142"/>
      <c r="Q73" s="145"/>
      <c r="R73" s="145"/>
      <c r="S73" s="137">
        <f>_xlfn.XLOOKUP(CONCATENATE(C_S_Digital[[#This Row],[Momento de ejecución]],C_S_Digital[[#This Row],[Forma de ejecución]]),C_Atributos,C_Peso,"",0)</f>
        <v>0.25</v>
      </c>
      <c r="T73" s="141" t="str">
        <f>IFERROR(_xlfn.XLOOKUP(C_S_Digital[[#This Row],[Momento de ejecución]],C_Momento,C_Efecto,,0),"")</f>
        <v>Impacto</v>
      </c>
      <c r="U73" s="143" t="str">
        <f>IFERROR(IF(C_S_Digital[[#This Row],[Código riesgo]]&lt;&gt;C72,_xlfn.XLOOKUP(C73,R_S_Digital[Código Riesgo],#REF!,,0)*IF(C_S_Digital[[#This Row],[Efecto]]="Probabilidad",1-C_S_Digital[[#This Row],[Peso]],1),IF(C_S_Digital[[#This Row],[Efecto]]="Probabilidad",U72*(1-C_S_Digital[[#This Row],[Peso]]),U72)),"")</f>
        <v/>
      </c>
      <c r="V73" s="144" t="str">
        <f>IFERROR(IF(C_S_Digital[[#This Row],[Código riesgo]]&lt;&gt;C72,_xlfn.XLOOKUP(C_S_Digital[[#This Row],[Código riesgo]],R_S_Digital[Código Riesgo],#REF!,,0)*IF(C_S_Digital[[#This Row],[Efecto]]="Impacto",1-C_S_Digital[[#This Row],[Peso]],1),IF(C_S_Digital[[#This Row],[Efecto]]="Impacto",V72*(1-C_S_Digital[[#This Row],[Peso]]),V72)),"")</f>
        <v/>
      </c>
      <c r="AI73" s="4"/>
      <c r="AJ73" s="4"/>
      <c r="AK73" s="4"/>
      <c r="AL73" s="4"/>
      <c r="AM73" s="4"/>
      <c r="AN73" s="4"/>
      <c r="AO73" s="4"/>
      <c r="AP73" s="4"/>
      <c r="AQ73" s="4"/>
      <c r="AR73" s="4"/>
      <c r="AS73" s="4"/>
      <c r="AT73" s="4"/>
      <c r="AU73" s="4"/>
      <c r="AV73" s="4"/>
      <c r="AW73" s="4"/>
    </row>
    <row r="74" spans="1:49" x14ac:dyDescent="0.25">
      <c r="A74" s="3">
        <v>69</v>
      </c>
      <c r="B74" s="85">
        <f>Mapa_RSD!B52</f>
        <v>0</v>
      </c>
      <c r="C74" s="136" t="e">
        <f>+R_S_Digital[[#This Row],[Código Riesgo]]</f>
        <v>#VALUE!</v>
      </c>
      <c r="D74" s="75"/>
      <c r="E74" s="141" t="str">
        <f>IF(C_S_Digital[[#This Row],[Responsable de ejecutar]]&lt;&gt;"",CONCATENATE(C_S_Digital[[#This Row],[Código riesgo]],"-",IF(C_S_Digital[[#This Row],[Código riesgo]]&lt;&gt;C73,1,RIGHT(E73,1)+1)),"")</f>
        <v/>
      </c>
      <c r="F74" s="142"/>
      <c r="G74" s="142"/>
      <c r="H74" s="142"/>
      <c r="I74" s="141" t="s">
        <v>105</v>
      </c>
      <c r="J74" s="141" t="s">
        <v>65</v>
      </c>
      <c r="K74" s="141"/>
      <c r="L74" s="141"/>
      <c r="M74" s="141"/>
      <c r="N74" s="141"/>
      <c r="O74" s="142"/>
      <c r="P74" s="142"/>
      <c r="Q74" s="145"/>
      <c r="R74" s="145"/>
      <c r="S74" s="137">
        <f>_xlfn.XLOOKUP(CONCATENATE(C_S_Digital[[#This Row],[Momento de ejecución]],C_S_Digital[[#This Row],[Forma de ejecución]]),C_Atributos,C_Peso,"",0)</f>
        <v>0.25</v>
      </c>
      <c r="T74" s="141" t="str">
        <f>IFERROR(_xlfn.XLOOKUP(C_S_Digital[[#This Row],[Momento de ejecución]],C_Momento,C_Efecto,,0),"")</f>
        <v>Impacto</v>
      </c>
      <c r="U74" s="143" t="str">
        <f>IFERROR(IF(C_S_Digital[[#This Row],[Código riesgo]]&lt;&gt;C73,_xlfn.XLOOKUP(C74,R_S_Digital[Código Riesgo],#REF!,,0)*IF(C_S_Digital[[#This Row],[Efecto]]="Probabilidad",1-C_S_Digital[[#This Row],[Peso]],1),IF(C_S_Digital[[#This Row],[Efecto]]="Probabilidad",U73*(1-C_S_Digital[[#This Row],[Peso]]),U73)),"")</f>
        <v/>
      </c>
      <c r="V74" s="144" t="str">
        <f>IFERROR(IF(C_S_Digital[[#This Row],[Código riesgo]]&lt;&gt;C73,_xlfn.XLOOKUP(C_S_Digital[[#This Row],[Código riesgo]],R_S_Digital[Código Riesgo],#REF!,,0)*IF(C_S_Digital[[#This Row],[Efecto]]="Impacto",1-C_S_Digital[[#This Row],[Peso]],1),IF(C_S_Digital[[#This Row],[Efecto]]="Impacto",V73*(1-C_S_Digital[[#This Row],[Peso]]),V73)),"")</f>
        <v/>
      </c>
      <c r="AI74" s="4"/>
      <c r="AJ74" s="4"/>
      <c r="AK74" s="4"/>
      <c r="AL74" s="4"/>
      <c r="AM74" s="4"/>
      <c r="AN74" s="4"/>
      <c r="AO74" s="4"/>
      <c r="AP74" s="4"/>
      <c r="AQ74" s="4"/>
      <c r="AR74" s="4"/>
      <c r="AS74" s="4"/>
      <c r="AT74" s="4"/>
      <c r="AU74" s="4"/>
      <c r="AV74" s="4"/>
      <c r="AW74" s="4"/>
    </row>
    <row r="75" spans="1:49" x14ac:dyDescent="0.25">
      <c r="A75" s="3">
        <v>70</v>
      </c>
      <c r="B75" s="85">
        <f>Mapa_RSD!B53</f>
        <v>0</v>
      </c>
      <c r="C75" s="136" t="e">
        <f>+R_S_Digital[[#This Row],[Código Riesgo]]</f>
        <v>#VALUE!</v>
      </c>
      <c r="D75" s="75"/>
      <c r="E75" s="141" t="str">
        <f>IF(C_S_Digital[[#This Row],[Responsable de ejecutar]]&lt;&gt;"",CONCATENATE(C_S_Digital[[#This Row],[Código riesgo]],"-",IF(C_S_Digital[[#This Row],[Código riesgo]]&lt;&gt;C74,1,RIGHT(E74,1)+1)),"")</f>
        <v/>
      </c>
      <c r="F75" s="142"/>
      <c r="G75" s="142"/>
      <c r="H75" s="142"/>
      <c r="I75" s="141" t="s">
        <v>105</v>
      </c>
      <c r="J75" s="141" t="s">
        <v>65</v>
      </c>
      <c r="K75" s="141"/>
      <c r="L75" s="141"/>
      <c r="M75" s="141"/>
      <c r="N75" s="141"/>
      <c r="O75" s="142"/>
      <c r="P75" s="142"/>
      <c r="Q75" s="145"/>
      <c r="R75" s="145"/>
      <c r="S75" s="137">
        <f>_xlfn.XLOOKUP(CONCATENATE(C_S_Digital[[#This Row],[Momento de ejecución]],C_S_Digital[[#This Row],[Forma de ejecución]]),C_Atributos,C_Peso,"",0)</f>
        <v>0.25</v>
      </c>
      <c r="T75" s="141" t="str">
        <f>IFERROR(_xlfn.XLOOKUP(C_S_Digital[[#This Row],[Momento de ejecución]],C_Momento,C_Efecto,,0),"")</f>
        <v>Impacto</v>
      </c>
      <c r="U75" s="143" t="str">
        <f>IFERROR(IF(C_S_Digital[[#This Row],[Código riesgo]]&lt;&gt;C74,_xlfn.XLOOKUP(C75,R_S_Digital[Código Riesgo],#REF!,,0)*IF(C_S_Digital[[#This Row],[Efecto]]="Probabilidad",1-C_S_Digital[[#This Row],[Peso]],1),IF(C_S_Digital[[#This Row],[Efecto]]="Probabilidad",U74*(1-C_S_Digital[[#This Row],[Peso]]),U74)),"")</f>
        <v/>
      </c>
      <c r="V75" s="144" t="str">
        <f>IFERROR(IF(C_S_Digital[[#This Row],[Código riesgo]]&lt;&gt;C74,_xlfn.XLOOKUP(C_S_Digital[[#This Row],[Código riesgo]],R_S_Digital[Código Riesgo],#REF!,,0)*IF(C_S_Digital[[#This Row],[Efecto]]="Impacto",1-C_S_Digital[[#This Row],[Peso]],1),IF(C_S_Digital[[#This Row],[Efecto]]="Impacto",V74*(1-C_S_Digital[[#This Row],[Peso]]),V74)),"")</f>
        <v/>
      </c>
      <c r="AI75" s="4"/>
      <c r="AJ75" s="4"/>
      <c r="AK75" s="4"/>
      <c r="AL75" s="4"/>
      <c r="AM75" s="4"/>
      <c r="AN75" s="4"/>
      <c r="AO75" s="4"/>
      <c r="AP75" s="4"/>
      <c r="AQ75" s="4"/>
      <c r="AR75" s="4"/>
      <c r="AS75" s="4"/>
      <c r="AT75" s="4"/>
      <c r="AU75" s="4"/>
      <c r="AV75" s="4"/>
      <c r="AW75" s="4"/>
    </row>
    <row r="76" spans="1:49" x14ac:dyDescent="0.25">
      <c r="A76" s="3">
        <v>71</v>
      </c>
      <c r="B76" s="85">
        <f>Mapa_RSD!B54</f>
        <v>0</v>
      </c>
      <c r="C76" s="136" t="e">
        <f>+R_S_Digital[[#This Row],[Código Riesgo]]</f>
        <v>#VALUE!</v>
      </c>
      <c r="D76" s="75"/>
      <c r="E76" s="141" t="str">
        <f>IF(C_S_Digital[[#This Row],[Responsable de ejecutar]]&lt;&gt;"",CONCATENATE(C_S_Digital[[#This Row],[Código riesgo]],"-",IF(C_S_Digital[[#This Row],[Código riesgo]]&lt;&gt;C75,1,RIGHT(E75,1)+1)),"")</f>
        <v/>
      </c>
      <c r="F76" s="142"/>
      <c r="G76" s="142"/>
      <c r="H76" s="142"/>
      <c r="I76" s="141" t="s">
        <v>105</v>
      </c>
      <c r="J76" s="141" t="s">
        <v>65</v>
      </c>
      <c r="K76" s="141"/>
      <c r="L76" s="141"/>
      <c r="M76" s="141"/>
      <c r="N76" s="141"/>
      <c r="O76" s="142"/>
      <c r="P76" s="142"/>
      <c r="Q76" s="145"/>
      <c r="R76" s="145"/>
      <c r="S76" s="137">
        <f>_xlfn.XLOOKUP(CONCATENATE(C_S_Digital[[#This Row],[Momento de ejecución]],C_S_Digital[[#This Row],[Forma de ejecución]]),C_Atributos,C_Peso,"",0)</f>
        <v>0.25</v>
      </c>
      <c r="T76" s="141" t="str">
        <f>IFERROR(_xlfn.XLOOKUP(C_S_Digital[[#This Row],[Momento de ejecución]],C_Momento,C_Efecto,,0),"")</f>
        <v>Impacto</v>
      </c>
      <c r="U76" s="143" t="str">
        <f>IFERROR(IF(C_S_Digital[[#This Row],[Código riesgo]]&lt;&gt;C75,_xlfn.XLOOKUP(C76,R_S_Digital[Código Riesgo],#REF!,,0)*IF(C_S_Digital[[#This Row],[Efecto]]="Probabilidad",1-C_S_Digital[[#This Row],[Peso]],1),IF(C_S_Digital[[#This Row],[Efecto]]="Probabilidad",U75*(1-C_S_Digital[[#This Row],[Peso]]),U75)),"")</f>
        <v/>
      </c>
      <c r="V76" s="144" t="str">
        <f>IFERROR(IF(C_S_Digital[[#This Row],[Código riesgo]]&lt;&gt;C75,_xlfn.XLOOKUP(C_S_Digital[[#This Row],[Código riesgo]],R_S_Digital[Código Riesgo],#REF!,,0)*IF(C_S_Digital[[#This Row],[Efecto]]="Impacto",1-C_S_Digital[[#This Row],[Peso]],1),IF(C_S_Digital[[#This Row],[Efecto]]="Impacto",V75*(1-C_S_Digital[[#This Row],[Peso]]),V75)),"")</f>
        <v/>
      </c>
      <c r="AI76" s="4"/>
      <c r="AJ76" s="4"/>
      <c r="AK76" s="4"/>
      <c r="AL76" s="4"/>
      <c r="AM76" s="4"/>
      <c r="AN76" s="4"/>
      <c r="AO76" s="4"/>
      <c r="AP76" s="4"/>
      <c r="AQ76" s="4"/>
      <c r="AR76" s="4"/>
      <c r="AS76" s="4"/>
      <c r="AT76" s="4"/>
      <c r="AU76" s="4"/>
      <c r="AV76" s="4"/>
      <c r="AW76" s="4"/>
    </row>
    <row r="77" spans="1:49" x14ac:dyDescent="0.25">
      <c r="A77" s="3">
        <v>72</v>
      </c>
      <c r="B77" s="85">
        <f>Mapa_RSD!B55</f>
        <v>0</v>
      </c>
      <c r="C77" s="136" t="e">
        <f>+R_S_Digital[[#This Row],[Código Riesgo]]</f>
        <v>#VALUE!</v>
      </c>
      <c r="D77" s="75"/>
      <c r="E77" s="141" t="str">
        <f>IF(C_S_Digital[[#This Row],[Responsable de ejecutar]]&lt;&gt;"",CONCATENATE(C_S_Digital[[#This Row],[Código riesgo]],"-",IF(C_S_Digital[[#This Row],[Código riesgo]]&lt;&gt;C76,1,RIGHT(E76,1)+1)),"")</f>
        <v/>
      </c>
      <c r="F77" s="142"/>
      <c r="G77" s="142"/>
      <c r="H77" s="142"/>
      <c r="I77" s="141" t="s">
        <v>105</v>
      </c>
      <c r="J77" s="141" t="s">
        <v>65</v>
      </c>
      <c r="K77" s="141"/>
      <c r="L77" s="141"/>
      <c r="M77" s="141"/>
      <c r="N77" s="141"/>
      <c r="O77" s="142"/>
      <c r="P77" s="142"/>
      <c r="Q77" s="145"/>
      <c r="R77" s="145"/>
      <c r="S77" s="137">
        <f>_xlfn.XLOOKUP(CONCATENATE(C_S_Digital[[#This Row],[Momento de ejecución]],C_S_Digital[[#This Row],[Forma de ejecución]]),C_Atributos,C_Peso,"",0)</f>
        <v>0.25</v>
      </c>
      <c r="T77" s="141" t="str">
        <f>IFERROR(_xlfn.XLOOKUP(C_S_Digital[[#This Row],[Momento de ejecución]],C_Momento,C_Efecto,,0),"")</f>
        <v>Impacto</v>
      </c>
      <c r="U77" s="143" t="str">
        <f>IFERROR(IF(C_S_Digital[[#This Row],[Código riesgo]]&lt;&gt;C76,_xlfn.XLOOKUP(C77,R_S_Digital[Código Riesgo],#REF!,,0)*IF(C_S_Digital[[#This Row],[Efecto]]="Probabilidad",1-C_S_Digital[[#This Row],[Peso]],1),IF(C_S_Digital[[#This Row],[Efecto]]="Probabilidad",U76*(1-C_S_Digital[[#This Row],[Peso]]),U76)),"")</f>
        <v/>
      </c>
      <c r="V77" s="144" t="str">
        <f>IFERROR(IF(C_S_Digital[[#This Row],[Código riesgo]]&lt;&gt;C76,_xlfn.XLOOKUP(C_S_Digital[[#This Row],[Código riesgo]],R_S_Digital[Código Riesgo],#REF!,,0)*IF(C_S_Digital[[#This Row],[Efecto]]="Impacto",1-C_S_Digital[[#This Row],[Peso]],1),IF(C_S_Digital[[#This Row],[Efecto]]="Impacto",V76*(1-C_S_Digital[[#This Row],[Peso]]),V76)),"")</f>
        <v/>
      </c>
      <c r="AI77" s="4"/>
      <c r="AJ77" s="4"/>
      <c r="AK77" s="4"/>
      <c r="AL77" s="4"/>
      <c r="AM77" s="4"/>
      <c r="AN77" s="4"/>
      <c r="AO77" s="4"/>
      <c r="AP77" s="4"/>
      <c r="AQ77" s="4"/>
      <c r="AR77" s="4"/>
      <c r="AS77" s="4"/>
      <c r="AT77" s="4"/>
      <c r="AU77" s="4"/>
      <c r="AV77" s="4"/>
      <c r="AW77" s="4"/>
    </row>
    <row r="78" spans="1:49" x14ac:dyDescent="0.25">
      <c r="A78" s="3">
        <v>73</v>
      </c>
      <c r="B78" s="85">
        <f>Mapa_RSD!B56</f>
        <v>0</v>
      </c>
      <c r="C78" s="136" t="e">
        <f>+R_S_Digital[[#This Row],[Código Riesgo]]</f>
        <v>#VALUE!</v>
      </c>
      <c r="D78" s="75"/>
      <c r="E78" s="141" t="str">
        <f>IF(C_S_Digital[[#This Row],[Responsable de ejecutar]]&lt;&gt;"",CONCATENATE(C_S_Digital[[#This Row],[Código riesgo]],"-",IF(C_S_Digital[[#This Row],[Código riesgo]]&lt;&gt;C77,1,RIGHT(E77,1)+1)),"")</f>
        <v/>
      </c>
      <c r="F78" s="142"/>
      <c r="G78" s="142"/>
      <c r="H78" s="142"/>
      <c r="I78" s="141" t="s">
        <v>105</v>
      </c>
      <c r="J78" s="141" t="s">
        <v>65</v>
      </c>
      <c r="K78" s="141"/>
      <c r="L78" s="141"/>
      <c r="M78" s="141"/>
      <c r="N78" s="141"/>
      <c r="O78" s="142"/>
      <c r="P78" s="142"/>
      <c r="Q78" s="145"/>
      <c r="R78" s="145"/>
      <c r="S78" s="137">
        <f>_xlfn.XLOOKUP(CONCATENATE(C_S_Digital[[#This Row],[Momento de ejecución]],C_S_Digital[[#This Row],[Forma de ejecución]]),C_Atributos,C_Peso,"",0)</f>
        <v>0.25</v>
      </c>
      <c r="T78" s="141" t="str">
        <f>IFERROR(_xlfn.XLOOKUP(C_S_Digital[[#This Row],[Momento de ejecución]],C_Momento,C_Efecto,,0),"")</f>
        <v>Impacto</v>
      </c>
      <c r="U78" s="143" t="str">
        <f>IFERROR(IF(C_S_Digital[[#This Row],[Código riesgo]]&lt;&gt;C77,_xlfn.XLOOKUP(C78,R_S_Digital[Código Riesgo],#REF!,,0)*IF(C_S_Digital[[#This Row],[Efecto]]="Probabilidad",1-C_S_Digital[[#This Row],[Peso]],1),IF(C_S_Digital[[#This Row],[Efecto]]="Probabilidad",U77*(1-C_S_Digital[[#This Row],[Peso]]),U77)),"")</f>
        <v/>
      </c>
      <c r="V78" s="144" t="str">
        <f>IFERROR(IF(C_S_Digital[[#This Row],[Código riesgo]]&lt;&gt;C77,_xlfn.XLOOKUP(C_S_Digital[[#This Row],[Código riesgo]],R_S_Digital[Código Riesgo],#REF!,,0)*IF(C_S_Digital[[#This Row],[Efecto]]="Impacto",1-C_S_Digital[[#This Row],[Peso]],1),IF(C_S_Digital[[#This Row],[Efecto]]="Impacto",V77*(1-C_S_Digital[[#This Row],[Peso]]),V77)),"")</f>
        <v/>
      </c>
    </row>
    <row r="79" spans="1:49" x14ac:dyDescent="0.25">
      <c r="A79" s="3">
        <v>74</v>
      </c>
      <c r="B79" s="85">
        <f>Mapa_RSD!B57</f>
        <v>0</v>
      </c>
      <c r="C79" s="136" t="e">
        <f>+R_S_Digital[[#This Row],[Código Riesgo]]</f>
        <v>#VALUE!</v>
      </c>
      <c r="D79" s="75"/>
      <c r="E79" s="141" t="str">
        <f>IF(C_S_Digital[[#This Row],[Responsable de ejecutar]]&lt;&gt;"",CONCATENATE(C_S_Digital[[#This Row],[Código riesgo]],"-",IF(C_S_Digital[[#This Row],[Código riesgo]]&lt;&gt;C78,1,RIGHT(E78,1)+1)),"")</f>
        <v/>
      </c>
      <c r="F79" s="142"/>
      <c r="G79" s="142"/>
      <c r="H79" s="142"/>
      <c r="I79" s="141" t="s">
        <v>105</v>
      </c>
      <c r="J79" s="141" t="s">
        <v>65</v>
      </c>
      <c r="K79" s="141"/>
      <c r="L79" s="141"/>
      <c r="M79" s="141"/>
      <c r="N79" s="141"/>
      <c r="O79" s="142"/>
      <c r="P79" s="142"/>
      <c r="Q79" s="145"/>
      <c r="R79" s="145"/>
      <c r="S79" s="137">
        <f>_xlfn.XLOOKUP(CONCATENATE(C_S_Digital[[#This Row],[Momento de ejecución]],C_S_Digital[[#This Row],[Forma de ejecución]]),C_Atributos,C_Peso,"",0)</f>
        <v>0.25</v>
      </c>
      <c r="T79" s="141" t="str">
        <f>IFERROR(_xlfn.XLOOKUP(C_S_Digital[[#This Row],[Momento de ejecución]],C_Momento,C_Efecto,,0),"")</f>
        <v>Impacto</v>
      </c>
      <c r="U79" s="143" t="str">
        <f>IFERROR(IF(C_S_Digital[[#This Row],[Código riesgo]]&lt;&gt;C78,_xlfn.XLOOKUP(C79,R_S_Digital[Código Riesgo],#REF!,,0)*IF(C_S_Digital[[#This Row],[Efecto]]="Probabilidad",1-C_S_Digital[[#This Row],[Peso]],1),IF(C_S_Digital[[#This Row],[Efecto]]="Probabilidad",U78*(1-C_S_Digital[[#This Row],[Peso]]),U78)),"")</f>
        <v/>
      </c>
      <c r="V79" s="144" t="str">
        <f>IFERROR(IF(C_S_Digital[[#This Row],[Código riesgo]]&lt;&gt;C78,_xlfn.XLOOKUP(C_S_Digital[[#This Row],[Código riesgo]],R_S_Digital[Código Riesgo],#REF!,,0)*IF(C_S_Digital[[#This Row],[Efecto]]="Impacto",1-C_S_Digital[[#This Row],[Peso]],1),IF(C_S_Digital[[#This Row],[Efecto]]="Impacto",V78*(1-C_S_Digital[[#This Row],[Peso]]),V78)),"")</f>
        <v/>
      </c>
    </row>
    <row r="80" spans="1:49" x14ac:dyDescent="0.25">
      <c r="A80" s="3">
        <v>75</v>
      </c>
      <c r="B80" s="85">
        <f>Mapa_RSD!B58</f>
        <v>0</v>
      </c>
      <c r="C80" s="136" t="e">
        <f>+R_S_Digital[[#This Row],[Código Riesgo]]</f>
        <v>#VALUE!</v>
      </c>
      <c r="D80" s="75"/>
      <c r="E80" s="141" t="str">
        <f>IF(C_S_Digital[[#This Row],[Responsable de ejecutar]]&lt;&gt;"",CONCATENATE(C_S_Digital[[#This Row],[Código riesgo]],"-",IF(C_S_Digital[[#This Row],[Código riesgo]]&lt;&gt;C79,1,RIGHT(E79,1)+1)),"")</f>
        <v/>
      </c>
      <c r="F80" s="142"/>
      <c r="G80" s="142"/>
      <c r="H80" s="142"/>
      <c r="I80" s="141" t="s">
        <v>105</v>
      </c>
      <c r="J80" s="141" t="s">
        <v>65</v>
      </c>
      <c r="K80" s="141"/>
      <c r="L80" s="141"/>
      <c r="M80" s="141"/>
      <c r="N80" s="141"/>
      <c r="O80" s="142"/>
      <c r="P80" s="142"/>
      <c r="Q80" s="145"/>
      <c r="R80" s="145"/>
      <c r="S80" s="137">
        <f>_xlfn.XLOOKUP(CONCATENATE(C_S_Digital[[#This Row],[Momento de ejecución]],C_S_Digital[[#This Row],[Forma de ejecución]]),C_Atributos,C_Peso,"",0)</f>
        <v>0.25</v>
      </c>
      <c r="T80" s="141" t="str">
        <f>IFERROR(_xlfn.XLOOKUP(C_S_Digital[[#This Row],[Momento de ejecución]],C_Momento,C_Efecto,,0),"")</f>
        <v>Impacto</v>
      </c>
      <c r="U80" s="143" t="str">
        <f>IFERROR(IF(C_S_Digital[[#This Row],[Código riesgo]]&lt;&gt;C79,_xlfn.XLOOKUP(C80,R_S_Digital[Código Riesgo],#REF!,,0)*IF(C_S_Digital[[#This Row],[Efecto]]="Probabilidad",1-C_S_Digital[[#This Row],[Peso]],1),IF(C_S_Digital[[#This Row],[Efecto]]="Probabilidad",U79*(1-C_S_Digital[[#This Row],[Peso]]),U79)),"")</f>
        <v/>
      </c>
      <c r="V80" s="144" t="str">
        <f>IFERROR(IF(C_S_Digital[[#This Row],[Código riesgo]]&lt;&gt;C79,_xlfn.XLOOKUP(C_S_Digital[[#This Row],[Código riesgo]],R_S_Digital[Código Riesgo],#REF!,,0)*IF(C_S_Digital[[#This Row],[Efecto]]="Impacto",1-C_S_Digital[[#This Row],[Peso]],1),IF(C_S_Digital[[#This Row],[Efecto]]="Impacto",V79*(1-C_S_Digital[[#This Row],[Peso]]),V79)),"")</f>
        <v/>
      </c>
    </row>
    <row r="81" spans="1:22" x14ac:dyDescent="0.25">
      <c r="A81" s="3">
        <v>76</v>
      </c>
      <c r="B81" s="85">
        <f>Mapa_RSD!B59</f>
        <v>0</v>
      </c>
      <c r="C81" s="136" t="e">
        <f>+R_S_Digital[[#This Row],[Código Riesgo]]</f>
        <v>#VALUE!</v>
      </c>
      <c r="D81" s="75"/>
      <c r="E81" s="141" t="str">
        <f>IF(C_S_Digital[[#This Row],[Responsable de ejecutar]]&lt;&gt;"",CONCATENATE(C_S_Digital[[#This Row],[Código riesgo]],"-",IF(C_S_Digital[[#This Row],[Código riesgo]]&lt;&gt;C80,1,RIGHT(E80,1)+1)),"")</f>
        <v/>
      </c>
      <c r="F81" s="142"/>
      <c r="G81" s="142"/>
      <c r="H81" s="142"/>
      <c r="I81" s="141" t="s">
        <v>105</v>
      </c>
      <c r="J81" s="141" t="s">
        <v>65</v>
      </c>
      <c r="K81" s="141"/>
      <c r="L81" s="141"/>
      <c r="M81" s="141"/>
      <c r="N81" s="141"/>
      <c r="O81" s="142"/>
      <c r="P81" s="142"/>
      <c r="Q81" s="145"/>
      <c r="R81" s="145"/>
      <c r="S81" s="137">
        <f>_xlfn.XLOOKUP(CONCATENATE(C_S_Digital[[#This Row],[Momento de ejecución]],C_S_Digital[[#This Row],[Forma de ejecución]]),C_Atributos,C_Peso,"",0)</f>
        <v>0.25</v>
      </c>
      <c r="T81" s="141" t="str">
        <f>IFERROR(_xlfn.XLOOKUP(C_S_Digital[[#This Row],[Momento de ejecución]],C_Momento,C_Efecto,,0),"")</f>
        <v>Impacto</v>
      </c>
      <c r="U81" s="143" t="str">
        <f>IFERROR(IF(C_S_Digital[[#This Row],[Código riesgo]]&lt;&gt;C80,_xlfn.XLOOKUP(C81,R_S_Digital[Código Riesgo],#REF!,,0)*IF(C_S_Digital[[#This Row],[Efecto]]="Probabilidad",1-C_S_Digital[[#This Row],[Peso]],1),IF(C_S_Digital[[#This Row],[Efecto]]="Probabilidad",U80*(1-C_S_Digital[[#This Row],[Peso]]),U80)),"")</f>
        <v/>
      </c>
      <c r="V81" s="144" t="str">
        <f>IFERROR(IF(C_S_Digital[[#This Row],[Código riesgo]]&lt;&gt;C80,_xlfn.XLOOKUP(C_S_Digital[[#This Row],[Código riesgo]],R_S_Digital[Código Riesgo],#REF!,,0)*IF(C_S_Digital[[#This Row],[Efecto]]="Impacto",1-C_S_Digital[[#This Row],[Peso]],1),IF(C_S_Digital[[#This Row],[Efecto]]="Impacto",V80*(1-C_S_Digital[[#This Row],[Peso]]),V80)),"")</f>
        <v/>
      </c>
    </row>
    <row r="82" spans="1:22" x14ac:dyDescent="0.25">
      <c r="A82" s="3">
        <v>77</v>
      </c>
      <c r="B82" s="85">
        <f>Mapa_RSD!B60</f>
        <v>0</v>
      </c>
      <c r="C82" s="136" t="e">
        <f>+R_S_Digital[[#This Row],[Código Riesgo]]</f>
        <v>#VALUE!</v>
      </c>
      <c r="D82" s="75"/>
      <c r="E82" s="141" t="str">
        <f>IF(C_S_Digital[[#This Row],[Responsable de ejecutar]]&lt;&gt;"",CONCATENATE(C_S_Digital[[#This Row],[Código riesgo]],"-",IF(C_S_Digital[[#This Row],[Código riesgo]]&lt;&gt;C81,1,RIGHT(E81,1)+1)),"")</f>
        <v/>
      </c>
      <c r="F82" s="142"/>
      <c r="G82" s="142"/>
      <c r="H82" s="142"/>
      <c r="I82" s="141" t="s">
        <v>105</v>
      </c>
      <c r="J82" s="141" t="s">
        <v>65</v>
      </c>
      <c r="K82" s="141"/>
      <c r="L82" s="141"/>
      <c r="M82" s="141"/>
      <c r="N82" s="141"/>
      <c r="O82" s="142"/>
      <c r="P82" s="142"/>
      <c r="Q82" s="145"/>
      <c r="R82" s="145"/>
      <c r="S82" s="137">
        <f>_xlfn.XLOOKUP(CONCATENATE(C_S_Digital[[#This Row],[Momento de ejecución]],C_S_Digital[[#This Row],[Forma de ejecución]]),C_Atributos,C_Peso,"",0)</f>
        <v>0.25</v>
      </c>
      <c r="T82" s="141" t="str">
        <f>IFERROR(_xlfn.XLOOKUP(C_S_Digital[[#This Row],[Momento de ejecución]],C_Momento,C_Efecto,,0),"")</f>
        <v>Impacto</v>
      </c>
      <c r="U82" s="143" t="str">
        <f>IFERROR(IF(C_S_Digital[[#This Row],[Código riesgo]]&lt;&gt;C81,_xlfn.XLOOKUP(C82,R_S_Digital[Código Riesgo],#REF!,,0)*IF(C_S_Digital[[#This Row],[Efecto]]="Probabilidad",1-C_S_Digital[[#This Row],[Peso]],1),IF(C_S_Digital[[#This Row],[Efecto]]="Probabilidad",U81*(1-C_S_Digital[[#This Row],[Peso]]),U81)),"")</f>
        <v/>
      </c>
      <c r="V82" s="144" t="str">
        <f>IFERROR(IF(C_S_Digital[[#This Row],[Código riesgo]]&lt;&gt;C81,_xlfn.XLOOKUP(C_S_Digital[[#This Row],[Código riesgo]],R_S_Digital[Código Riesgo],#REF!,,0)*IF(C_S_Digital[[#This Row],[Efecto]]="Impacto",1-C_S_Digital[[#This Row],[Peso]],1),IF(C_S_Digital[[#This Row],[Efecto]]="Impacto",V81*(1-C_S_Digital[[#This Row],[Peso]]),V81)),"")</f>
        <v/>
      </c>
    </row>
    <row r="83" spans="1:22" x14ac:dyDescent="0.25">
      <c r="A83" s="3">
        <v>78</v>
      </c>
      <c r="B83" s="85">
        <f>Mapa_RSD!B61</f>
        <v>0</v>
      </c>
      <c r="C83" s="136" t="e">
        <f>+R_S_Digital[[#This Row],[Código Riesgo]]</f>
        <v>#VALUE!</v>
      </c>
      <c r="D83" s="75"/>
      <c r="E83" s="141" t="str">
        <f>IF(C_S_Digital[[#This Row],[Responsable de ejecutar]]&lt;&gt;"",CONCATENATE(C_S_Digital[[#This Row],[Código riesgo]],"-",IF(C_S_Digital[[#This Row],[Código riesgo]]&lt;&gt;C82,1,RIGHT(E82,1)+1)),"")</f>
        <v/>
      </c>
      <c r="F83" s="142"/>
      <c r="G83" s="142"/>
      <c r="H83" s="142"/>
      <c r="I83" s="141" t="s">
        <v>105</v>
      </c>
      <c r="J83" s="141" t="s">
        <v>65</v>
      </c>
      <c r="K83" s="141"/>
      <c r="L83" s="141"/>
      <c r="M83" s="141"/>
      <c r="N83" s="141"/>
      <c r="O83" s="142"/>
      <c r="P83" s="142"/>
      <c r="Q83" s="145"/>
      <c r="R83" s="145"/>
      <c r="S83" s="137">
        <f>_xlfn.XLOOKUP(CONCATENATE(C_S_Digital[[#This Row],[Momento de ejecución]],C_S_Digital[[#This Row],[Forma de ejecución]]),C_Atributos,C_Peso,"",0)</f>
        <v>0.25</v>
      </c>
      <c r="T83" s="141" t="str">
        <f>IFERROR(_xlfn.XLOOKUP(C_S_Digital[[#This Row],[Momento de ejecución]],C_Momento,C_Efecto,,0),"")</f>
        <v>Impacto</v>
      </c>
      <c r="U83" s="143" t="str">
        <f>IFERROR(IF(C_S_Digital[[#This Row],[Código riesgo]]&lt;&gt;C82,_xlfn.XLOOKUP(C83,R_S_Digital[Código Riesgo],#REF!,,0)*IF(C_S_Digital[[#This Row],[Efecto]]="Probabilidad",1-C_S_Digital[[#This Row],[Peso]],1),IF(C_S_Digital[[#This Row],[Efecto]]="Probabilidad",U82*(1-C_S_Digital[[#This Row],[Peso]]),U82)),"")</f>
        <v/>
      </c>
      <c r="V83" s="144" t="str">
        <f>IFERROR(IF(C_S_Digital[[#This Row],[Código riesgo]]&lt;&gt;C82,_xlfn.XLOOKUP(C_S_Digital[[#This Row],[Código riesgo]],R_S_Digital[Código Riesgo],#REF!,,0)*IF(C_S_Digital[[#This Row],[Efecto]]="Impacto",1-C_S_Digital[[#This Row],[Peso]],1),IF(C_S_Digital[[#This Row],[Efecto]]="Impacto",V82*(1-C_S_Digital[[#This Row],[Peso]]),V82)),"")</f>
        <v/>
      </c>
    </row>
    <row r="84" spans="1:22" x14ac:dyDescent="0.25">
      <c r="A84" s="3">
        <v>79</v>
      </c>
      <c r="B84" s="85">
        <f>Mapa_RSD!B62</f>
        <v>0</v>
      </c>
      <c r="C84" s="136" t="e">
        <f>+R_S_Digital[[#This Row],[Código Riesgo]]</f>
        <v>#VALUE!</v>
      </c>
      <c r="D84" s="75"/>
      <c r="E84" s="141" t="str">
        <f>IF(C_S_Digital[[#This Row],[Responsable de ejecutar]]&lt;&gt;"",CONCATENATE(C_S_Digital[[#This Row],[Código riesgo]],"-",IF(C_S_Digital[[#This Row],[Código riesgo]]&lt;&gt;C83,1,RIGHT(E83,1)+1)),"")</f>
        <v/>
      </c>
      <c r="F84" s="142"/>
      <c r="G84" s="142"/>
      <c r="H84" s="142"/>
      <c r="I84" s="141" t="s">
        <v>105</v>
      </c>
      <c r="J84" s="141" t="s">
        <v>65</v>
      </c>
      <c r="K84" s="141"/>
      <c r="L84" s="141"/>
      <c r="M84" s="141"/>
      <c r="N84" s="141"/>
      <c r="O84" s="142"/>
      <c r="P84" s="142"/>
      <c r="Q84" s="145"/>
      <c r="R84" s="145"/>
      <c r="S84" s="137">
        <f>_xlfn.XLOOKUP(CONCATENATE(C_S_Digital[[#This Row],[Momento de ejecución]],C_S_Digital[[#This Row],[Forma de ejecución]]),C_Atributos,C_Peso,"",0)</f>
        <v>0.25</v>
      </c>
      <c r="T84" s="141" t="str">
        <f>IFERROR(_xlfn.XLOOKUP(C_S_Digital[[#This Row],[Momento de ejecución]],C_Momento,C_Efecto,,0),"")</f>
        <v>Impacto</v>
      </c>
      <c r="U84" s="143" t="str">
        <f>IFERROR(IF(C_S_Digital[[#This Row],[Código riesgo]]&lt;&gt;C83,_xlfn.XLOOKUP(C84,R_S_Digital[Código Riesgo],#REF!,,0)*IF(C_S_Digital[[#This Row],[Efecto]]="Probabilidad",1-C_S_Digital[[#This Row],[Peso]],1),IF(C_S_Digital[[#This Row],[Efecto]]="Probabilidad",U83*(1-C_S_Digital[[#This Row],[Peso]]),U83)),"")</f>
        <v/>
      </c>
      <c r="V84" s="144" t="str">
        <f>IFERROR(IF(C_S_Digital[[#This Row],[Código riesgo]]&lt;&gt;C83,_xlfn.XLOOKUP(C_S_Digital[[#This Row],[Código riesgo]],R_S_Digital[Código Riesgo],#REF!,,0)*IF(C_S_Digital[[#This Row],[Efecto]]="Impacto",1-C_S_Digital[[#This Row],[Peso]],1),IF(C_S_Digital[[#This Row],[Efecto]]="Impacto",V83*(1-C_S_Digital[[#This Row],[Peso]]),V83)),"")</f>
        <v/>
      </c>
    </row>
    <row r="85" spans="1:22" x14ac:dyDescent="0.25">
      <c r="A85" s="3">
        <v>80</v>
      </c>
      <c r="B85" s="85">
        <f>Mapa_RSD!B63</f>
        <v>0</v>
      </c>
      <c r="C85" s="136" t="e">
        <f>+R_S_Digital[[#This Row],[Código Riesgo]]</f>
        <v>#VALUE!</v>
      </c>
      <c r="D85" s="75"/>
      <c r="E85" s="141" t="str">
        <f>IF(C_S_Digital[[#This Row],[Responsable de ejecutar]]&lt;&gt;"",CONCATENATE(C_S_Digital[[#This Row],[Código riesgo]],"-",IF(C_S_Digital[[#This Row],[Código riesgo]]&lt;&gt;C84,1,RIGHT(E84,1)+1)),"")</f>
        <v/>
      </c>
      <c r="F85" s="142"/>
      <c r="G85" s="142"/>
      <c r="H85" s="142"/>
      <c r="I85" s="141" t="s">
        <v>105</v>
      </c>
      <c r="J85" s="141" t="s">
        <v>65</v>
      </c>
      <c r="K85" s="141"/>
      <c r="L85" s="141"/>
      <c r="M85" s="141"/>
      <c r="N85" s="141"/>
      <c r="O85" s="142"/>
      <c r="P85" s="142"/>
      <c r="Q85" s="145"/>
      <c r="R85" s="145"/>
      <c r="S85" s="137">
        <f>_xlfn.XLOOKUP(CONCATENATE(C_S_Digital[[#This Row],[Momento de ejecución]],C_S_Digital[[#This Row],[Forma de ejecución]]),C_Atributos,C_Peso,"",0)</f>
        <v>0.25</v>
      </c>
      <c r="T85" s="141" t="str">
        <f>IFERROR(_xlfn.XLOOKUP(C_S_Digital[[#This Row],[Momento de ejecución]],C_Momento,C_Efecto,,0),"")</f>
        <v>Impacto</v>
      </c>
      <c r="U85" s="143" t="str">
        <f>IFERROR(IF(C_S_Digital[[#This Row],[Código riesgo]]&lt;&gt;C84,_xlfn.XLOOKUP(C85,R_S_Digital[Código Riesgo],#REF!,,0)*IF(C_S_Digital[[#This Row],[Efecto]]="Probabilidad",1-C_S_Digital[[#This Row],[Peso]],1),IF(C_S_Digital[[#This Row],[Efecto]]="Probabilidad",U84*(1-C_S_Digital[[#This Row],[Peso]]),U84)),"")</f>
        <v/>
      </c>
      <c r="V85" s="144" t="str">
        <f>IFERROR(IF(C_S_Digital[[#This Row],[Código riesgo]]&lt;&gt;C84,_xlfn.XLOOKUP(C_S_Digital[[#This Row],[Código riesgo]],R_S_Digital[Código Riesgo],#REF!,,0)*IF(C_S_Digital[[#This Row],[Efecto]]="Impacto",1-C_S_Digital[[#This Row],[Peso]],1),IF(C_S_Digital[[#This Row],[Efecto]]="Impacto",V84*(1-C_S_Digital[[#This Row],[Peso]]),V84)),"")</f>
        <v/>
      </c>
    </row>
    <row r="86" spans="1:22" x14ac:dyDescent="0.25">
      <c r="A86" s="3">
        <v>81</v>
      </c>
      <c r="B86" s="85">
        <f>Mapa_RSD!B64</f>
        <v>0</v>
      </c>
      <c r="C86" s="136" t="e">
        <f>+R_S_Digital[[#This Row],[Código Riesgo]]</f>
        <v>#VALUE!</v>
      </c>
      <c r="D86" s="75"/>
      <c r="E86" s="141" t="str">
        <f>IF(C_S_Digital[[#This Row],[Responsable de ejecutar]]&lt;&gt;"",CONCATENATE(C_S_Digital[[#This Row],[Código riesgo]],"-",IF(C_S_Digital[[#This Row],[Código riesgo]]&lt;&gt;C85,1,RIGHT(E85,1)+1)),"")</f>
        <v/>
      </c>
      <c r="F86" s="142"/>
      <c r="G86" s="142"/>
      <c r="H86" s="142"/>
      <c r="I86" s="141" t="s">
        <v>105</v>
      </c>
      <c r="J86" s="141" t="s">
        <v>65</v>
      </c>
      <c r="K86" s="141"/>
      <c r="L86" s="141"/>
      <c r="M86" s="141"/>
      <c r="N86" s="141"/>
      <c r="O86" s="142"/>
      <c r="P86" s="142"/>
      <c r="Q86" s="145"/>
      <c r="R86" s="145"/>
      <c r="S86" s="137">
        <f>_xlfn.XLOOKUP(CONCATENATE(C_S_Digital[[#This Row],[Momento de ejecución]],C_S_Digital[[#This Row],[Forma de ejecución]]),C_Atributos,C_Peso,"",0)</f>
        <v>0.25</v>
      </c>
      <c r="T86" s="141" t="str">
        <f>IFERROR(_xlfn.XLOOKUP(C_S_Digital[[#This Row],[Momento de ejecución]],C_Momento,C_Efecto,,0),"")</f>
        <v>Impacto</v>
      </c>
      <c r="U86" s="143" t="str">
        <f>IFERROR(IF(C_S_Digital[[#This Row],[Código riesgo]]&lt;&gt;C85,_xlfn.XLOOKUP(C86,R_S_Digital[Código Riesgo],#REF!,,0)*IF(C_S_Digital[[#This Row],[Efecto]]="Probabilidad",1-C_S_Digital[[#This Row],[Peso]],1),IF(C_S_Digital[[#This Row],[Efecto]]="Probabilidad",U85*(1-C_S_Digital[[#This Row],[Peso]]),U85)),"")</f>
        <v/>
      </c>
      <c r="V86" s="144" t="str">
        <f>IFERROR(IF(C_S_Digital[[#This Row],[Código riesgo]]&lt;&gt;C85,_xlfn.XLOOKUP(C_S_Digital[[#This Row],[Código riesgo]],R_S_Digital[Código Riesgo],#REF!,,0)*IF(C_S_Digital[[#This Row],[Efecto]]="Impacto",1-C_S_Digital[[#This Row],[Peso]],1),IF(C_S_Digital[[#This Row],[Efecto]]="Impacto",V85*(1-C_S_Digital[[#This Row],[Peso]]),V85)),"")</f>
        <v/>
      </c>
    </row>
    <row r="87" spans="1:22" x14ac:dyDescent="0.25">
      <c r="A87" s="3">
        <v>82</v>
      </c>
      <c r="B87" s="85">
        <f>Mapa_RSD!B65</f>
        <v>0</v>
      </c>
      <c r="C87" s="136" t="e">
        <f>+R_S_Digital[[#This Row],[Código Riesgo]]</f>
        <v>#VALUE!</v>
      </c>
      <c r="D87" s="75"/>
      <c r="E87" s="141" t="str">
        <f>IF(C_S_Digital[[#This Row],[Responsable de ejecutar]]&lt;&gt;"",CONCATENATE(C_S_Digital[[#This Row],[Código riesgo]],"-",IF(C_S_Digital[[#This Row],[Código riesgo]]&lt;&gt;C86,1,RIGHT(E86,1)+1)),"")</f>
        <v/>
      </c>
      <c r="F87" s="142"/>
      <c r="G87" s="142"/>
      <c r="H87" s="142"/>
      <c r="I87" s="141" t="s">
        <v>105</v>
      </c>
      <c r="J87" s="141" t="s">
        <v>65</v>
      </c>
      <c r="K87" s="141"/>
      <c r="L87" s="141"/>
      <c r="M87" s="141"/>
      <c r="N87" s="141"/>
      <c r="O87" s="142"/>
      <c r="P87" s="142"/>
      <c r="Q87" s="145"/>
      <c r="R87" s="145"/>
      <c r="S87" s="137">
        <f>_xlfn.XLOOKUP(CONCATENATE(C_S_Digital[[#This Row],[Momento de ejecución]],C_S_Digital[[#This Row],[Forma de ejecución]]),C_Atributos,C_Peso,"",0)</f>
        <v>0.25</v>
      </c>
      <c r="T87" s="141" t="str">
        <f>IFERROR(_xlfn.XLOOKUP(C_S_Digital[[#This Row],[Momento de ejecución]],C_Momento,C_Efecto,,0),"")</f>
        <v>Impacto</v>
      </c>
      <c r="U87" s="143" t="str">
        <f>IFERROR(IF(C_S_Digital[[#This Row],[Código riesgo]]&lt;&gt;C86,_xlfn.XLOOKUP(C87,R_S_Digital[Código Riesgo],#REF!,,0)*IF(C_S_Digital[[#This Row],[Efecto]]="Probabilidad",1-C_S_Digital[[#This Row],[Peso]],1),IF(C_S_Digital[[#This Row],[Efecto]]="Probabilidad",U86*(1-C_S_Digital[[#This Row],[Peso]]),U86)),"")</f>
        <v/>
      </c>
      <c r="V87" s="144" t="str">
        <f>IFERROR(IF(C_S_Digital[[#This Row],[Código riesgo]]&lt;&gt;C86,_xlfn.XLOOKUP(C_S_Digital[[#This Row],[Código riesgo]],R_S_Digital[Código Riesgo],#REF!,,0)*IF(C_S_Digital[[#This Row],[Efecto]]="Impacto",1-C_S_Digital[[#This Row],[Peso]],1),IF(C_S_Digital[[#This Row],[Efecto]]="Impacto",V86*(1-C_S_Digital[[#This Row],[Peso]]),V86)),"")</f>
        <v/>
      </c>
    </row>
    <row r="88" spans="1:22" x14ac:dyDescent="0.25">
      <c r="A88" s="3">
        <v>83</v>
      </c>
      <c r="B88" s="85">
        <f>Mapa_RSD!B66</f>
        <v>0</v>
      </c>
      <c r="C88" s="136" t="e">
        <f>+R_S_Digital[[#This Row],[Código Riesgo]]</f>
        <v>#VALUE!</v>
      </c>
      <c r="D88" s="75"/>
      <c r="E88" s="141" t="str">
        <f>IF(C_S_Digital[[#This Row],[Responsable de ejecutar]]&lt;&gt;"",CONCATENATE(C_S_Digital[[#This Row],[Código riesgo]],"-",IF(C_S_Digital[[#This Row],[Código riesgo]]&lt;&gt;C87,1,RIGHT(E87,1)+1)),"")</f>
        <v/>
      </c>
      <c r="F88" s="142"/>
      <c r="G88" s="142"/>
      <c r="H88" s="142"/>
      <c r="I88" s="141" t="s">
        <v>105</v>
      </c>
      <c r="J88" s="141" t="s">
        <v>65</v>
      </c>
      <c r="K88" s="141"/>
      <c r="L88" s="141"/>
      <c r="M88" s="141"/>
      <c r="N88" s="141"/>
      <c r="O88" s="142"/>
      <c r="P88" s="142"/>
      <c r="Q88" s="145"/>
      <c r="R88" s="145"/>
      <c r="S88" s="137">
        <f>_xlfn.XLOOKUP(CONCATENATE(C_S_Digital[[#This Row],[Momento de ejecución]],C_S_Digital[[#This Row],[Forma de ejecución]]),C_Atributos,C_Peso,"",0)</f>
        <v>0.25</v>
      </c>
      <c r="T88" s="141" t="str">
        <f>IFERROR(_xlfn.XLOOKUP(C_S_Digital[[#This Row],[Momento de ejecución]],C_Momento,C_Efecto,,0),"")</f>
        <v>Impacto</v>
      </c>
      <c r="U88" s="143" t="str">
        <f>IFERROR(IF(C_S_Digital[[#This Row],[Código riesgo]]&lt;&gt;C87,_xlfn.XLOOKUP(C88,R_S_Digital[Código Riesgo],#REF!,,0)*IF(C_S_Digital[[#This Row],[Efecto]]="Probabilidad",1-C_S_Digital[[#This Row],[Peso]],1),IF(C_S_Digital[[#This Row],[Efecto]]="Probabilidad",U87*(1-C_S_Digital[[#This Row],[Peso]]),U87)),"")</f>
        <v/>
      </c>
      <c r="V88" s="144" t="str">
        <f>IFERROR(IF(C_S_Digital[[#This Row],[Código riesgo]]&lt;&gt;C87,_xlfn.XLOOKUP(C_S_Digital[[#This Row],[Código riesgo]],R_S_Digital[Código Riesgo],#REF!,,0)*IF(C_S_Digital[[#This Row],[Efecto]]="Impacto",1-C_S_Digital[[#This Row],[Peso]],1),IF(C_S_Digital[[#This Row],[Efecto]]="Impacto",V87*(1-C_S_Digital[[#This Row],[Peso]]),V87)),"")</f>
        <v/>
      </c>
    </row>
    <row r="89" spans="1:22" x14ac:dyDescent="0.25">
      <c r="A89" s="3">
        <v>84</v>
      </c>
      <c r="B89" s="85">
        <f>Mapa_RSD!B67</f>
        <v>0</v>
      </c>
      <c r="C89" s="136" t="e">
        <f>+R_S_Digital[[#This Row],[Código Riesgo]]</f>
        <v>#VALUE!</v>
      </c>
      <c r="D89" s="75"/>
      <c r="E89" s="141" t="str">
        <f>IF(C_S_Digital[[#This Row],[Responsable de ejecutar]]&lt;&gt;"",CONCATENATE(C_S_Digital[[#This Row],[Código riesgo]],"-",IF(C_S_Digital[[#This Row],[Código riesgo]]&lt;&gt;C88,1,RIGHT(E88,1)+1)),"")</f>
        <v/>
      </c>
      <c r="F89" s="142"/>
      <c r="G89" s="142"/>
      <c r="H89" s="142"/>
      <c r="I89" s="141" t="s">
        <v>105</v>
      </c>
      <c r="J89" s="141" t="s">
        <v>65</v>
      </c>
      <c r="K89" s="141"/>
      <c r="L89" s="141"/>
      <c r="M89" s="141"/>
      <c r="N89" s="141"/>
      <c r="O89" s="142"/>
      <c r="P89" s="142"/>
      <c r="Q89" s="145"/>
      <c r="R89" s="145"/>
      <c r="S89" s="137">
        <f>_xlfn.XLOOKUP(CONCATENATE(C_S_Digital[[#This Row],[Momento de ejecución]],C_S_Digital[[#This Row],[Forma de ejecución]]),C_Atributos,C_Peso,"",0)</f>
        <v>0.25</v>
      </c>
      <c r="T89" s="141" t="str">
        <f>IFERROR(_xlfn.XLOOKUP(C_S_Digital[[#This Row],[Momento de ejecución]],C_Momento,C_Efecto,,0),"")</f>
        <v>Impacto</v>
      </c>
      <c r="U89" s="143" t="str">
        <f>IFERROR(IF(C_S_Digital[[#This Row],[Código riesgo]]&lt;&gt;C88,_xlfn.XLOOKUP(C89,R_S_Digital[Código Riesgo],#REF!,,0)*IF(C_S_Digital[[#This Row],[Efecto]]="Probabilidad",1-C_S_Digital[[#This Row],[Peso]],1),IF(C_S_Digital[[#This Row],[Efecto]]="Probabilidad",U88*(1-C_S_Digital[[#This Row],[Peso]]),U88)),"")</f>
        <v/>
      </c>
      <c r="V89" s="144" t="str">
        <f>IFERROR(IF(C_S_Digital[[#This Row],[Código riesgo]]&lt;&gt;C88,_xlfn.XLOOKUP(C_S_Digital[[#This Row],[Código riesgo]],R_S_Digital[Código Riesgo],#REF!,,0)*IF(C_S_Digital[[#This Row],[Efecto]]="Impacto",1-C_S_Digital[[#This Row],[Peso]],1),IF(C_S_Digital[[#This Row],[Efecto]]="Impacto",V88*(1-C_S_Digital[[#This Row],[Peso]]),V88)),"")</f>
        <v/>
      </c>
    </row>
    <row r="90" spans="1:22" x14ac:dyDescent="0.25">
      <c r="A90" s="3">
        <v>85</v>
      </c>
      <c r="B90" s="85">
        <f>Mapa_RSD!B68</f>
        <v>0</v>
      </c>
      <c r="C90" s="136" t="e">
        <f>+R_S_Digital[[#This Row],[Código Riesgo]]</f>
        <v>#VALUE!</v>
      </c>
      <c r="D90" s="75"/>
      <c r="E90" s="141" t="str">
        <f>IF(C_S_Digital[[#This Row],[Responsable de ejecutar]]&lt;&gt;"",CONCATENATE(C_S_Digital[[#This Row],[Código riesgo]],"-",IF(C_S_Digital[[#This Row],[Código riesgo]]&lt;&gt;C89,1,RIGHT(E89,1)+1)),"")</f>
        <v/>
      </c>
      <c r="F90" s="142"/>
      <c r="G90" s="142"/>
      <c r="H90" s="142"/>
      <c r="I90" s="141" t="s">
        <v>105</v>
      </c>
      <c r="J90" s="141" t="s">
        <v>65</v>
      </c>
      <c r="K90" s="141"/>
      <c r="L90" s="141"/>
      <c r="M90" s="141"/>
      <c r="N90" s="141"/>
      <c r="O90" s="142"/>
      <c r="P90" s="142"/>
      <c r="Q90" s="145"/>
      <c r="R90" s="145"/>
      <c r="S90" s="137">
        <f>_xlfn.XLOOKUP(CONCATENATE(C_S_Digital[[#This Row],[Momento de ejecución]],C_S_Digital[[#This Row],[Forma de ejecución]]),C_Atributos,C_Peso,"",0)</f>
        <v>0.25</v>
      </c>
      <c r="T90" s="141" t="str">
        <f>IFERROR(_xlfn.XLOOKUP(C_S_Digital[[#This Row],[Momento de ejecución]],C_Momento,C_Efecto,,0),"")</f>
        <v>Impacto</v>
      </c>
      <c r="U90" s="143" t="str">
        <f>IFERROR(IF(C_S_Digital[[#This Row],[Código riesgo]]&lt;&gt;C89,_xlfn.XLOOKUP(C90,R_S_Digital[Código Riesgo],#REF!,,0)*IF(C_S_Digital[[#This Row],[Efecto]]="Probabilidad",1-C_S_Digital[[#This Row],[Peso]],1),IF(C_S_Digital[[#This Row],[Efecto]]="Probabilidad",U89*(1-C_S_Digital[[#This Row],[Peso]]),U89)),"")</f>
        <v/>
      </c>
      <c r="V90" s="144" t="str">
        <f>IFERROR(IF(C_S_Digital[[#This Row],[Código riesgo]]&lt;&gt;C89,_xlfn.XLOOKUP(C_S_Digital[[#This Row],[Código riesgo]],R_S_Digital[Código Riesgo],#REF!,,0)*IF(C_S_Digital[[#This Row],[Efecto]]="Impacto",1-C_S_Digital[[#This Row],[Peso]],1),IF(C_S_Digital[[#This Row],[Efecto]]="Impacto",V89*(1-C_S_Digital[[#This Row],[Peso]]),V89)),"")</f>
        <v/>
      </c>
    </row>
    <row r="91" spans="1:22" x14ac:dyDescent="0.25">
      <c r="A91" s="3">
        <v>86</v>
      </c>
      <c r="B91" s="85">
        <f>Mapa_RSD!B69</f>
        <v>0</v>
      </c>
      <c r="C91" s="136" t="e">
        <f>+R_S_Digital[[#This Row],[Código Riesgo]]</f>
        <v>#VALUE!</v>
      </c>
      <c r="D91" s="75"/>
      <c r="E91" s="141" t="str">
        <f>IF(C_S_Digital[[#This Row],[Responsable de ejecutar]]&lt;&gt;"",CONCATENATE(C_S_Digital[[#This Row],[Código riesgo]],"-",IF(C_S_Digital[[#This Row],[Código riesgo]]&lt;&gt;C90,1,RIGHT(E90,1)+1)),"")</f>
        <v/>
      </c>
      <c r="F91" s="142"/>
      <c r="G91" s="142"/>
      <c r="H91" s="142"/>
      <c r="I91" s="141" t="s">
        <v>105</v>
      </c>
      <c r="J91" s="141" t="s">
        <v>65</v>
      </c>
      <c r="K91" s="141"/>
      <c r="L91" s="141"/>
      <c r="M91" s="141"/>
      <c r="N91" s="141"/>
      <c r="O91" s="142"/>
      <c r="P91" s="142"/>
      <c r="Q91" s="145"/>
      <c r="R91" s="145"/>
      <c r="S91" s="137">
        <f>_xlfn.XLOOKUP(CONCATENATE(C_S_Digital[[#This Row],[Momento de ejecución]],C_S_Digital[[#This Row],[Forma de ejecución]]),C_Atributos,C_Peso,"",0)</f>
        <v>0.25</v>
      </c>
      <c r="T91" s="141" t="str">
        <f>IFERROR(_xlfn.XLOOKUP(C_S_Digital[[#This Row],[Momento de ejecución]],C_Momento,C_Efecto,,0),"")</f>
        <v>Impacto</v>
      </c>
      <c r="U91" s="143" t="str">
        <f>IFERROR(IF(C_S_Digital[[#This Row],[Código riesgo]]&lt;&gt;C90,_xlfn.XLOOKUP(C91,R_S_Digital[Código Riesgo],#REF!,,0)*IF(C_S_Digital[[#This Row],[Efecto]]="Probabilidad",1-C_S_Digital[[#This Row],[Peso]],1),IF(C_S_Digital[[#This Row],[Efecto]]="Probabilidad",U90*(1-C_S_Digital[[#This Row],[Peso]]),U90)),"")</f>
        <v/>
      </c>
      <c r="V91" s="144" t="str">
        <f>IFERROR(IF(C_S_Digital[[#This Row],[Código riesgo]]&lt;&gt;C90,_xlfn.XLOOKUP(C_S_Digital[[#This Row],[Código riesgo]],R_S_Digital[Código Riesgo],#REF!,,0)*IF(C_S_Digital[[#This Row],[Efecto]]="Impacto",1-C_S_Digital[[#This Row],[Peso]],1),IF(C_S_Digital[[#This Row],[Efecto]]="Impacto",V90*(1-C_S_Digital[[#This Row],[Peso]]),V90)),"")</f>
        <v/>
      </c>
    </row>
    <row r="92" spans="1:22" x14ac:dyDescent="0.25">
      <c r="A92" s="3">
        <v>87</v>
      </c>
      <c r="B92" s="85">
        <f>Mapa_RSD!B70</f>
        <v>0</v>
      </c>
      <c r="C92" s="136" t="e">
        <f>+R_S_Digital[[#This Row],[Código Riesgo]]</f>
        <v>#VALUE!</v>
      </c>
      <c r="D92" s="75"/>
      <c r="E92" s="141" t="str">
        <f>IF(C_S_Digital[[#This Row],[Responsable de ejecutar]]&lt;&gt;"",CONCATENATE(C_S_Digital[[#This Row],[Código riesgo]],"-",IF(C_S_Digital[[#This Row],[Código riesgo]]&lt;&gt;C91,1,RIGHT(E91,1)+1)),"")</f>
        <v/>
      </c>
      <c r="F92" s="142"/>
      <c r="G92" s="142"/>
      <c r="H92" s="142"/>
      <c r="I92" s="141" t="s">
        <v>105</v>
      </c>
      <c r="J92" s="141" t="s">
        <v>65</v>
      </c>
      <c r="K92" s="141"/>
      <c r="L92" s="141"/>
      <c r="M92" s="141"/>
      <c r="N92" s="141"/>
      <c r="O92" s="142"/>
      <c r="P92" s="142"/>
      <c r="Q92" s="145"/>
      <c r="R92" s="145"/>
      <c r="S92" s="137">
        <f>_xlfn.XLOOKUP(CONCATENATE(C_S_Digital[[#This Row],[Momento de ejecución]],C_S_Digital[[#This Row],[Forma de ejecución]]),C_Atributos,C_Peso,"",0)</f>
        <v>0.25</v>
      </c>
      <c r="T92" s="141" t="str">
        <f>IFERROR(_xlfn.XLOOKUP(C_S_Digital[[#This Row],[Momento de ejecución]],C_Momento,C_Efecto,,0),"")</f>
        <v>Impacto</v>
      </c>
      <c r="U92" s="143" t="str">
        <f>IFERROR(IF(C_S_Digital[[#This Row],[Código riesgo]]&lt;&gt;C91,_xlfn.XLOOKUP(C92,R_S_Digital[Código Riesgo],#REF!,,0)*IF(C_S_Digital[[#This Row],[Efecto]]="Probabilidad",1-C_S_Digital[[#This Row],[Peso]],1),IF(C_S_Digital[[#This Row],[Efecto]]="Probabilidad",U91*(1-C_S_Digital[[#This Row],[Peso]]),U91)),"")</f>
        <v/>
      </c>
      <c r="V92" s="144" t="str">
        <f>IFERROR(IF(C_S_Digital[[#This Row],[Código riesgo]]&lt;&gt;C91,_xlfn.XLOOKUP(C_S_Digital[[#This Row],[Código riesgo]],R_S_Digital[Código Riesgo],#REF!,,0)*IF(C_S_Digital[[#This Row],[Efecto]]="Impacto",1-C_S_Digital[[#This Row],[Peso]],1),IF(C_S_Digital[[#This Row],[Efecto]]="Impacto",V91*(1-C_S_Digital[[#This Row],[Peso]]),V91)),"")</f>
        <v/>
      </c>
    </row>
    <row r="93" spans="1:22" x14ac:dyDescent="0.25">
      <c r="A93" s="3">
        <v>88</v>
      </c>
      <c r="B93" s="85">
        <f>Mapa_RSD!B71</f>
        <v>0</v>
      </c>
      <c r="C93" s="136" t="e">
        <f>+R_S_Digital[[#This Row],[Código Riesgo]]</f>
        <v>#VALUE!</v>
      </c>
      <c r="D93" s="75"/>
      <c r="E93" s="141" t="str">
        <f>IF(C_S_Digital[[#This Row],[Responsable de ejecutar]]&lt;&gt;"",CONCATENATE(C_S_Digital[[#This Row],[Código riesgo]],"-",IF(C_S_Digital[[#This Row],[Código riesgo]]&lt;&gt;C92,1,RIGHT(E92,1)+1)),"")</f>
        <v/>
      </c>
      <c r="F93" s="142"/>
      <c r="G93" s="142"/>
      <c r="H93" s="142"/>
      <c r="I93" s="141" t="s">
        <v>105</v>
      </c>
      <c r="J93" s="141" t="s">
        <v>65</v>
      </c>
      <c r="K93" s="141"/>
      <c r="L93" s="141"/>
      <c r="M93" s="141"/>
      <c r="N93" s="141"/>
      <c r="O93" s="142"/>
      <c r="P93" s="142"/>
      <c r="Q93" s="145"/>
      <c r="R93" s="145"/>
      <c r="S93" s="137">
        <f>_xlfn.XLOOKUP(CONCATENATE(C_S_Digital[[#This Row],[Momento de ejecución]],C_S_Digital[[#This Row],[Forma de ejecución]]),C_Atributos,C_Peso,"",0)</f>
        <v>0.25</v>
      </c>
      <c r="T93" s="141" t="str">
        <f>IFERROR(_xlfn.XLOOKUP(C_S_Digital[[#This Row],[Momento de ejecución]],C_Momento,C_Efecto,,0),"")</f>
        <v>Impacto</v>
      </c>
      <c r="U93" s="143" t="str">
        <f>IFERROR(IF(C_S_Digital[[#This Row],[Código riesgo]]&lt;&gt;C92,_xlfn.XLOOKUP(C93,R_S_Digital[Código Riesgo],#REF!,,0)*IF(C_S_Digital[[#This Row],[Efecto]]="Probabilidad",1-C_S_Digital[[#This Row],[Peso]],1),IF(C_S_Digital[[#This Row],[Efecto]]="Probabilidad",U92*(1-C_S_Digital[[#This Row],[Peso]]),U92)),"")</f>
        <v/>
      </c>
      <c r="V93" s="144" t="str">
        <f>IFERROR(IF(C_S_Digital[[#This Row],[Código riesgo]]&lt;&gt;C92,_xlfn.XLOOKUP(C_S_Digital[[#This Row],[Código riesgo]],R_S_Digital[Código Riesgo],#REF!,,0)*IF(C_S_Digital[[#This Row],[Efecto]]="Impacto",1-C_S_Digital[[#This Row],[Peso]],1),IF(C_S_Digital[[#This Row],[Efecto]]="Impacto",V92*(1-C_S_Digital[[#This Row],[Peso]]),V92)),"")</f>
        <v/>
      </c>
    </row>
    <row r="94" spans="1:22" s="5" customFormat="1" x14ac:dyDescent="0.25">
      <c r="A94" s="3">
        <v>89</v>
      </c>
      <c r="B94" s="85">
        <f>Mapa_RSD!B72</f>
        <v>0</v>
      </c>
      <c r="C94" s="136" t="e">
        <f>+R_S_Digital[[#This Row],[Código Riesgo]]</f>
        <v>#VALUE!</v>
      </c>
      <c r="D94" s="75"/>
      <c r="E94" s="141" t="str">
        <f>IF(C_S_Digital[[#This Row],[Responsable de ejecutar]]&lt;&gt;"",CONCATENATE(C_S_Digital[[#This Row],[Código riesgo]],"-",IF(C_S_Digital[[#This Row],[Código riesgo]]&lt;&gt;C93,1,RIGHT(E93,1)+1)),"")</f>
        <v/>
      </c>
      <c r="F94" s="142"/>
      <c r="G94" s="142"/>
      <c r="H94" s="142"/>
      <c r="I94" s="141" t="s">
        <v>105</v>
      </c>
      <c r="J94" s="141" t="s">
        <v>65</v>
      </c>
      <c r="K94" s="141"/>
      <c r="L94" s="141"/>
      <c r="M94" s="141"/>
      <c r="N94" s="141"/>
      <c r="O94" s="142"/>
      <c r="P94" s="142"/>
      <c r="Q94" s="145"/>
      <c r="R94" s="145"/>
      <c r="S94" s="137">
        <f>_xlfn.XLOOKUP(CONCATENATE(C_S_Digital[[#This Row],[Momento de ejecución]],C_S_Digital[[#This Row],[Forma de ejecución]]),C_Atributos,C_Peso,"",0)</f>
        <v>0.25</v>
      </c>
      <c r="T94" s="141" t="str">
        <f>IFERROR(_xlfn.XLOOKUP(C_S_Digital[[#This Row],[Momento de ejecución]],C_Momento,C_Efecto,,0),"")</f>
        <v>Impacto</v>
      </c>
      <c r="U94" s="143" t="str">
        <f>IFERROR(IF(C_S_Digital[[#This Row],[Código riesgo]]&lt;&gt;C93,_xlfn.XLOOKUP(C94,R_S_Digital[Código Riesgo],#REF!,,0)*IF(C_S_Digital[[#This Row],[Efecto]]="Probabilidad",1-C_S_Digital[[#This Row],[Peso]],1),IF(C_S_Digital[[#This Row],[Efecto]]="Probabilidad",U93*(1-C_S_Digital[[#This Row],[Peso]]),U93)),"")</f>
        <v/>
      </c>
      <c r="V94" s="144" t="str">
        <f>IFERROR(IF(C_S_Digital[[#This Row],[Código riesgo]]&lt;&gt;C93,_xlfn.XLOOKUP(C_S_Digital[[#This Row],[Código riesgo]],R_S_Digital[Código Riesgo],#REF!,,0)*IF(C_S_Digital[[#This Row],[Efecto]]="Impacto",1-C_S_Digital[[#This Row],[Peso]],1),IF(C_S_Digital[[#This Row],[Efecto]]="Impacto",V93*(1-C_S_Digital[[#This Row],[Peso]]),V93)),"")</f>
        <v/>
      </c>
    </row>
    <row r="95" spans="1:22" s="5" customFormat="1" x14ac:dyDescent="0.25">
      <c r="A95" s="3">
        <v>90</v>
      </c>
      <c r="B95" s="85">
        <f>Mapa_RSD!B73</f>
        <v>0</v>
      </c>
      <c r="C95" s="136" t="e">
        <f>+R_S_Digital[[#This Row],[Código Riesgo]]</f>
        <v>#VALUE!</v>
      </c>
      <c r="D95" s="75"/>
      <c r="E95" s="141" t="str">
        <f>IF(C_S_Digital[[#This Row],[Responsable de ejecutar]]&lt;&gt;"",CONCATENATE(C_S_Digital[[#This Row],[Código riesgo]],"-",IF(C_S_Digital[[#This Row],[Código riesgo]]&lt;&gt;C94,1,RIGHT(E94,1)+1)),"")</f>
        <v/>
      </c>
      <c r="F95" s="142"/>
      <c r="G95" s="142"/>
      <c r="H95" s="142"/>
      <c r="I95" s="141" t="s">
        <v>105</v>
      </c>
      <c r="J95" s="141" t="s">
        <v>65</v>
      </c>
      <c r="K95" s="141"/>
      <c r="L95" s="141"/>
      <c r="M95" s="141"/>
      <c r="N95" s="141"/>
      <c r="O95" s="142"/>
      <c r="P95" s="142"/>
      <c r="Q95" s="145"/>
      <c r="R95" s="145"/>
      <c r="S95" s="137">
        <f>_xlfn.XLOOKUP(CONCATENATE(C_S_Digital[[#This Row],[Momento de ejecución]],C_S_Digital[[#This Row],[Forma de ejecución]]),C_Atributos,C_Peso,"",0)</f>
        <v>0.25</v>
      </c>
      <c r="T95" s="141" t="str">
        <f>IFERROR(_xlfn.XLOOKUP(C_S_Digital[[#This Row],[Momento de ejecución]],C_Momento,C_Efecto,,0),"")</f>
        <v>Impacto</v>
      </c>
      <c r="U95" s="143" t="str">
        <f>IFERROR(IF(C_S_Digital[[#This Row],[Código riesgo]]&lt;&gt;C94,_xlfn.XLOOKUP(C95,R_S_Digital[Código Riesgo],#REF!,,0)*IF(C_S_Digital[[#This Row],[Efecto]]="Probabilidad",1-C_S_Digital[[#This Row],[Peso]],1),IF(C_S_Digital[[#This Row],[Efecto]]="Probabilidad",U94*(1-C_S_Digital[[#This Row],[Peso]]),U94)),"")</f>
        <v/>
      </c>
      <c r="V95" s="144" t="str">
        <f>IFERROR(IF(C_S_Digital[[#This Row],[Código riesgo]]&lt;&gt;C94,_xlfn.XLOOKUP(C_S_Digital[[#This Row],[Código riesgo]],R_S_Digital[Código Riesgo],#REF!,,0)*IF(C_S_Digital[[#This Row],[Efecto]]="Impacto",1-C_S_Digital[[#This Row],[Peso]],1),IF(C_S_Digital[[#This Row],[Efecto]]="Impacto",V94*(1-C_S_Digital[[#This Row],[Peso]]),V94)),"")</f>
        <v/>
      </c>
    </row>
    <row r="96" spans="1:22" s="5" customFormat="1" x14ac:dyDescent="0.25">
      <c r="A96" s="3">
        <v>91</v>
      </c>
      <c r="B96" s="85">
        <f>Mapa_RSD!B74</f>
        <v>0</v>
      </c>
      <c r="C96" s="136" t="e">
        <f>+R_S_Digital[[#This Row],[Código Riesgo]]</f>
        <v>#VALUE!</v>
      </c>
      <c r="D96" s="75"/>
      <c r="E96" s="141" t="str">
        <f>IF(C_S_Digital[[#This Row],[Responsable de ejecutar]]&lt;&gt;"",CONCATENATE(C_S_Digital[[#This Row],[Código riesgo]],"-",IF(C_S_Digital[[#This Row],[Código riesgo]]&lt;&gt;C95,1,RIGHT(E95,1)+1)),"")</f>
        <v/>
      </c>
      <c r="F96" s="147"/>
      <c r="G96" s="147"/>
      <c r="H96" s="147"/>
      <c r="I96" s="141" t="s">
        <v>105</v>
      </c>
      <c r="J96" s="141" t="s">
        <v>65</v>
      </c>
      <c r="K96" s="3"/>
      <c r="L96" s="3"/>
      <c r="M96" s="3"/>
      <c r="N96" s="3"/>
      <c r="O96" s="147"/>
      <c r="P96" s="147"/>
      <c r="Q96" s="145"/>
      <c r="R96" s="148"/>
      <c r="S96" s="137">
        <f>_xlfn.XLOOKUP(CONCATENATE(C_S_Digital[[#This Row],[Momento de ejecución]],C_S_Digital[[#This Row],[Forma de ejecución]]),C_Atributos,C_Peso,"",0)</f>
        <v>0.25</v>
      </c>
      <c r="T96" s="141" t="str">
        <f>IFERROR(_xlfn.XLOOKUP(C_S_Digital[[#This Row],[Momento de ejecución]],C_Momento,C_Efecto,,0),"")</f>
        <v>Impacto</v>
      </c>
      <c r="U96" s="143" t="str">
        <f>IFERROR(IF(C_S_Digital[[#This Row],[Código riesgo]]&lt;&gt;C95,_xlfn.XLOOKUP(C96,R_S_Digital[Código Riesgo],#REF!,,0)*IF(C_S_Digital[[#This Row],[Efecto]]="Probabilidad",1-C_S_Digital[[#This Row],[Peso]],1),IF(C_S_Digital[[#This Row],[Efecto]]="Probabilidad",U95*(1-C_S_Digital[[#This Row],[Peso]]),U95)),"")</f>
        <v/>
      </c>
      <c r="V96" s="144" t="str">
        <f>IFERROR(IF(C_S_Digital[[#This Row],[Código riesgo]]&lt;&gt;C95,_xlfn.XLOOKUP(C_S_Digital[[#This Row],[Código riesgo]],R_S_Digital[Código Riesgo],#REF!,,0)*IF(C_S_Digital[[#This Row],[Efecto]]="Impacto",1-C_S_Digital[[#This Row],[Peso]],1),IF(C_S_Digital[[#This Row],[Efecto]]="Impacto",V95*(1-C_S_Digital[[#This Row],[Peso]]),V95)),"")</f>
        <v/>
      </c>
    </row>
    <row r="97" spans="1:22" s="5" customFormat="1" x14ac:dyDescent="0.25">
      <c r="A97" s="3">
        <v>92</v>
      </c>
      <c r="B97" s="85">
        <f>Mapa_RSD!B75</f>
        <v>0</v>
      </c>
      <c r="C97" s="136" t="e">
        <f>+R_S_Digital[[#This Row],[Código Riesgo]]</f>
        <v>#VALUE!</v>
      </c>
      <c r="D97" s="75"/>
      <c r="E97" s="141" t="str">
        <f>IF(C_S_Digital[[#This Row],[Responsable de ejecutar]]&lt;&gt;"",CONCATENATE(C_S_Digital[[#This Row],[Código riesgo]],"-",IF(C_S_Digital[[#This Row],[Código riesgo]]&lt;&gt;C96,1,RIGHT(E96,1)+1)),"")</f>
        <v/>
      </c>
      <c r="F97" s="147"/>
      <c r="G97" s="147"/>
      <c r="H97" s="147"/>
      <c r="I97" s="141" t="s">
        <v>105</v>
      </c>
      <c r="J97" s="141" t="s">
        <v>65</v>
      </c>
      <c r="K97" s="3"/>
      <c r="L97" s="3"/>
      <c r="M97" s="3"/>
      <c r="N97" s="3"/>
      <c r="O97" s="147"/>
      <c r="P97" s="142"/>
      <c r="Q97" s="145"/>
      <c r="R97" s="148"/>
      <c r="S97" s="137">
        <f>_xlfn.XLOOKUP(CONCATENATE(C_S_Digital[[#This Row],[Momento de ejecución]],C_S_Digital[[#This Row],[Forma de ejecución]]),C_Atributos,C_Peso,"",0)</f>
        <v>0.25</v>
      </c>
      <c r="T97" s="141" t="str">
        <f>IFERROR(_xlfn.XLOOKUP(C_S_Digital[[#This Row],[Momento de ejecución]],C_Momento,C_Efecto,,0),"")</f>
        <v>Impacto</v>
      </c>
      <c r="U97" s="143" t="str">
        <f>IFERROR(IF(C_S_Digital[[#This Row],[Código riesgo]]&lt;&gt;C96,_xlfn.XLOOKUP(C97,R_S_Digital[Código Riesgo],#REF!,,0)*IF(C_S_Digital[[#This Row],[Efecto]]="Probabilidad",1-C_S_Digital[[#This Row],[Peso]],1),IF(C_S_Digital[[#This Row],[Efecto]]="Probabilidad",U96*(1-C_S_Digital[[#This Row],[Peso]]),U96)),"")</f>
        <v/>
      </c>
      <c r="V97" s="144" t="str">
        <f>IFERROR(IF(C_S_Digital[[#This Row],[Código riesgo]]&lt;&gt;C96,_xlfn.XLOOKUP(C_S_Digital[[#This Row],[Código riesgo]],R_S_Digital[Código Riesgo],#REF!,,0)*IF(C_S_Digital[[#This Row],[Efecto]]="Impacto",1-C_S_Digital[[#This Row],[Peso]],1),IF(C_S_Digital[[#This Row],[Efecto]]="Impacto",V96*(1-C_S_Digital[[#This Row],[Peso]]),V96)),"")</f>
        <v/>
      </c>
    </row>
    <row r="98" spans="1:22" s="5" customFormat="1" x14ac:dyDescent="0.25">
      <c r="A98" s="3">
        <v>93</v>
      </c>
      <c r="B98" s="85">
        <f>Mapa_RSD!B76</f>
        <v>0</v>
      </c>
      <c r="C98" s="136" t="e">
        <f>+R_S_Digital[[#This Row],[Código Riesgo]]</f>
        <v>#VALUE!</v>
      </c>
      <c r="D98" s="75"/>
      <c r="E98" s="141" t="str">
        <f>IF(C_S_Digital[[#This Row],[Responsable de ejecutar]]&lt;&gt;"",CONCATENATE(C_S_Digital[[#This Row],[Código riesgo]],"-",IF(C_S_Digital[[#This Row],[Código riesgo]]&lt;&gt;C97,1,RIGHT(E97,1)+1)),"")</f>
        <v/>
      </c>
      <c r="F98" s="147"/>
      <c r="G98" s="147"/>
      <c r="H98" s="147"/>
      <c r="I98" s="141" t="s">
        <v>105</v>
      </c>
      <c r="J98" s="141" t="s">
        <v>65</v>
      </c>
      <c r="K98" s="3"/>
      <c r="L98" s="3"/>
      <c r="M98" s="3"/>
      <c r="N98" s="3"/>
      <c r="O98" s="147"/>
      <c r="P98" s="147"/>
      <c r="Q98" s="145"/>
      <c r="R98" s="148"/>
      <c r="S98" s="137">
        <f>_xlfn.XLOOKUP(CONCATENATE(C_S_Digital[[#This Row],[Momento de ejecución]],C_S_Digital[[#This Row],[Forma de ejecución]]),C_Atributos,C_Peso,"",0)</f>
        <v>0.25</v>
      </c>
      <c r="T98" s="141" t="str">
        <f>IFERROR(_xlfn.XLOOKUP(C_S_Digital[[#This Row],[Momento de ejecución]],C_Momento,C_Efecto,,0),"")</f>
        <v>Impacto</v>
      </c>
      <c r="U98" s="143" t="str">
        <f>IFERROR(IF(C_S_Digital[[#This Row],[Código riesgo]]&lt;&gt;C97,_xlfn.XLOOKUP(C98,R_S_Digital[Código Riesgo],#REF!,,0)*IF(C_S_Digital[[#This Row],[Efecto]]="Probabilidad",1-C_S_Digital[[#This Row],[Peso]],1),IF(C_S_Digital[[#This Row],[Efecto]]="Probabilidad",U97*(1-C_S_Digital[[#This Row],[Peso]]),U97)),"")</f>
        <v/>
      </c>
      <c r="V98" s="144" t="str">
        <f>IFERROR(IF(C_S_Digital[[#This Row],[Código riesgo]]&lt;&gt;C97,_xlfn.XLOOKUP(C_S_Digital[[#This Row],[Código riesgo]],R_S_Digital[Código Riesgo],#REF!,,0)*IF(C_S_Digital[[#This Row],[Efecto]]="Impacto",1-C_S_Digital[[#This Row],[Peso]],1),IF(C_S_Digital[[#This Row],[Efecto]]="Impacto",V97*(1-C_S_Digital[[#This Row],[Peso]]),V97)),"")</f>
        <v/>
      </c>
    </row>
    <row r="99" spans="1:22" s="5" customFormat="1" x14ac:dyDescent="0.25">
      <c r="A99" s="3">
        <v>94</v>
      </c>
      <c r="B99" s="85">
        <f>Mapa_RSD!B77</f>
        <v>0</v>
      </c>
      <c r="C99" s="136" t="e">
        <f>+R_S_Digital[[#This Row],[Código Riesgo]]</f>
        <v>#VALUE!</v>
      </c>
      <c r="D99" s="75"/>
      <c r="E99" s="141" t="str">
        <f>IF(C_S_Digital[[#This Row],[Responsable de ejecutar]]&lt;&gt;"",CONCATENATE(C_S_Digital[[#This Row],[Código riesgo]],"-",IF(C_S_Digital[[#This Row],[Código riesgo]]&lt;&gt;C98,1,RIGHT(E98,1)+1)),"")</f>
        <v/>
      </c>
      <c r="F99" s="147"/>
      <c r="G99" s="147"/>
      <c r="H99" s="147"/>
      <c r="I99" s="141" t="s">
        <v>105</v>
      </c>
      <c r="J99" s="141" t="s">
        <v>65</v>
      </c>
      <c r="K99" s="3"/>
      <c r="L99" s="3"/>
      <c r="M99" s="3"/>
      <c r="N99" s="3"/>
      <c r="O99" s="147"/>
      <c r="P99" s="147"/>
      <c r="Q99" s="145"/>
      <c r="R99" s="148"/>
      <c r="S99" s="137">
        <f>_xlfn.XLOOKUP(CONCATENATE(C_S_Digital[[#This Row],[Momento de ejecución]],C_S_Digital[[#This Row],[Forma de ejecución]]),C_Atributos,C_Peso,"",0)</f>
        <v>0.25</v>
      </c>
      <c r="T99" s="141" t="str">
        <f>IFERROR(_xlfn.XLOOKUP(C_S_Digital[[#This Row],[Momento de ejecución]],C_Momento,C_Efecto,,0),"")</f>
        <v>Impacto</v>
      </c>
      <c r="U99" s="143" t="str">
        <f>IFERROR(IF(C_S_Digital[[#This Row],[Código riesgo]]&lt;&gt;C98,_xlfn.XLOOKUP(C99,R_S_Digital[Código Riesgo],#REF!,,0)*IF(C_S_Digital[[#This Row],[Efecto]]="Probabilidad",1-C_S_Digital[[#This Row],[Peso]],1),IF(C_S_Digital[[#This Row],[Efecto]]="Probabilidad",U98*(1-C_S_Digital[[#This Row],[Peso]]),U98)),"")</f>
        <v/>
      </c>
      <c r="V99" s="144" t="str">
        <f>IFERROR(IF(C_S_Digital[[#This Row],[Código riesgo]]&lt;&gt;C98,_xlfn.XLOOKUP(C_S_Digital[[#This Row],[Código riesgo]],R_S_Digital[Código Riesgo],#REF!,,0)*IF(C_S_Digital[[#This Row],[Efecto]]="Impacto",1-C_S_Digital[[#This Row],[Peso]],1),IF(C_S_Digital[[#This Row],[Efecto]]="Impacto",V98*(1-C_S_Digital[[#This Row],[Peso]]),V98)),"")</f>
        <v/>
      </c>
    </row>
    <row r="100" spans="1:22" s="5" customFormat="1" x14ac:dyDescent="0.25">
      <c r="A100" s="3">
        <v>95</v>
      </c>
      <c r="B100" s="85">
        <f>Mapa_RSD!B78</f>
        <v>0</v>
      </c>
      <c r="C100" s="136" t="e">
        <f>+R_S_Digital[[#This Row],[Código Riesgo]]</f>
        <v>#VALUE!</v>
      </c>
      <c r="D100" s="75"/>
      <c r="E100" s="141" t="str">
        <f>IF(C_S_Digital[[#This Row],[Responsable de ejecutar]]&lt;&gt;"",CONCATENATE(C_S_Digital[[#This Row],[Código riesgo]],"-",IF(C_S_Digital[[#This Row],[Código riesgo]]&lt;&gt;C99,1,RIGHT(E99,1)+1)),"")</f>
        <v/>
      </c>
      <c r="F100" s="147"/>
      <c r="G100" s="147"/>
      <c r="H100" s="147"/>
      <c r="I100" s="141" t="s">
        <v>105</v>
      </c>
      <c r="J100" s="141" t="s">
        <v>65</v>
      </c>
      <c r="K100" s="3"/>
      <c r="L100" s="3"/>
      <c r="M100" s="3"/>
      <c r="N100" s="3"/>
      <c r="O100" s="147"/>
      <c r="P100" s="147"/>
      <c r="Q100" s="145"/>
      <c r="R100" s="148"/>
      <c r="S100" s="137">
        <f>_xlfn.XLOOKUP(CONCATENATE(C_S_Digital[[#This Row],[Momento de ejecución]],C_S_Digital[[#This Row],[Forma de ejecución]]),C_Atributos,C_Peso,"",0)</f>
        <v>0.25</v>
      </c>
      <c r="T100" s="141" t="str">
        <f>IFERROR(_xlfn.XLOOKUP(C_S_Digital[[#This Row],[Momento de ejecución]],C_Momento,C_Efecto,,0),"")</f>
        <v>Impacto</v>
      </c>
      <c r="U100" s="143" t="str">
        <f>IFERROR(IF(C_S_Digital[[#This Row],[Código riesgo]]&lt;&gt;C99,_xlfn.XLOOKUP(C100,R_S_Digital[Código Riesgo],#REF!,,0)*IF(C_S_Digital[[#This Row],[Efecto]]="Probabilidad",1-C_S_Digital[[#This Row],[Peso]],1),IF(C_S_Digital[[#This Row],[Efecto]]="Probabilidad",U99*(1-C_S_Digital[[#This Row],[Peso]]),U99)),"")</f>
        <v/>
      </c>
      <c r="V100" s="144" t="str">
        <f>IFERROR(IF(C_S_Digital[[#This Row],[Código riesgo]]&lt;&gt;C99,_xlfn.XLOOKUP(C_S_Digital[[#This Row],[Código riesgo]],R_S_Digital[Código Riesgo],#REF!,,0)*IF(C_S_Digital[[#This Row],[Efecto]]="Impacto",1-C_S_Digital[[#This Row],[Peso]],1),IF(C_S_Digital[[#This Row],[Efecto]]="Impacto",V99*(1-C_S_Digital[[#This Row],[Peso]]),V99)),"")</f>
        <v/>
      </c>
    </row>
    <row r="101" spans="1:22" s="5" customFormat="1" x14ac:dyDescent="0.25">
      <c r="A101" s="3">
        <v>96</v>
      </c>
      <c r="B101" s="85">
        <f>Mapa_RSD!B79</f>
        <v>0</v>
      </c>
      <c r="C101" s="136" t="e">
        <f>+R_S_Digital[[#This Row],[Código Riesgo]]</f>
        <v>#VALUE!</v>
      </c>
      <c r="D101" s="75"/>
      <c r="E101" s="141" t="str">
        <f>IF(C_S_Digital[[#This Row],[Responsable de ejecutar]]&lt;&gt;"",CONCATENATE(C_S_Digital[[#This Row],[Código riesgo]],"-",IF(C_S_Digital[[#This Row],[Código riesgo]]&lt;&gt;C100,1,RIGHT(E100,1)+1)),"")</f>
        <v/>
      </c>
      <c r="F101" s="147"/>
      <c r="G101" s="147"/>
      <c r="H101" s="147"/>
      <c r="I101" s="141" t="s">
        <v>105</v>
      </c>
      <c r="J101" s="141" t="s">
        <v>65</v>
      </c>
      <c r="K101" s="3"/>
      <c r="L101" s="3"/>
      <c r="M101" s="3"/>
      <c r="N101" s="3"/>
      <c r="O101" s="147"/>
      <c r="P101" s="147"/>
      <c r="Q101" s="145"/>
      <c r="R101" s="148"/>
      <c r="S101" s="137">
        <f>_xlfn.XLOOKUP(CONCATENATE(C_S_Digital[[#This Row],[Momento de ejecución]],C_S_Digital[[#This Row],[Forma de ejecución]]),C_Atributos,C_Peso,"",0)</f>
        <v>0.25</v>
      </c>
      <c r="T101" s="141" t="str">
        <f>IFERROR(_xlfn.XLOOKUP(C_S_Digital[[#This Row],[Momento de ejecución]],C_Momento,C_Efecto,,0),"")</f>
        <v>Impacto</v>
      </c>
      <c r="U101" s="143" t="str">
        <f>IFERROR(IF(C_S_Digital[[#This Row],[Código riesgo]]&lt;&gt;C100,_xlfn.XLOOKUP(C101,R_S_Digital[Código Riesgo],#REF!,,0)*IF(C_S_Digital[[#This Row],[Efecto]]="Probabilidad",1-C_S_Digital[[#This Row],[Peso]],1),IF(C_S_Digital[[#This Row],[Efecto]]="Probabilidad",U100*(1-C_S_Digital[[#This Row],[Peso]]),U100)),"")</f>
        <v/>
      </c>
      <c r="V101" s="144" t="str">
        <f>IFERROR(IF(C_S_Digital[[#This Row],[Código riesgo]]&lt;&gt;C100,_xlfn.XLOOKUP(C_S_Digital[[#This Row],[Código riesgo]],R_S_Digital[Código Riesgo],#REF!,,0)*IF(C_S_Digital[[#This Row],[Efecto]]="Impacto",1-C_S_Digital[[#This Row],[Peso]],1),IF(C_S_Digital[[#This Row],[Efecto]]="Impacto",V100*(1-C_S_Digital[[#This Row],[Peso]]),V100)),"")</f>
        <v/>
      </c>
    </row>
    <row r="102" spans="1:22" s="5" customFormat="1" x14ac:dyDescent="0.25">
      <c r="A102" s="3">
        <v>97</v>
      </c>
      <c r="B102" s="85">
        <f>Mapa_RSD!B80</f>
        <v>0</v>
      </c>
      <c r="C102" s="136" t="e">
        <f>+R_S_Digital[[#This Row],[Código Riesgo]]</f>
        <v>#VALUE!</v>
      </c>
      <c r="D102" s="75"/>
      <c r="E102" s="141" t="str">
        <f>IF(C_S_Digital[[#This Row],[Responsable de ejecutar]]&lt;&gt;"",CONCATENATE(C_S_Digital[[#This Row],[Código riesgo]],"-",IF(C_S_Digital[[#This Row],[Código riesgo]]&lt;&gt;C101,1,RIGHT(E101,1)+1)),"")</f>
        <v/>
      </c>
      <c r="F102" s="147"/>
      <c r="G102" s="147"/>
      <c r="H102" s="147"/>
      <c r="I102" s="141" t="s">
        <v>105</v>
      </c>
      <c r="J102" s="141" t="s">
        <v>65</v>
      </c>
      <c r="K102" s="3"/>
      <c r="L102" s="3"/>
      <c r="M102" s="3"/>
      <c r="N102" s="3"/>
      <c r="O102" s="3"/>
      <c r="P102" s="3"/>
      <c r="Q102" s="145"/>
      <c r="R102" s="148"/>
      <c r="S102" s="137">
        <f>_xlfn.XLOOKUP(CONCATENATE(C_S_Digital[[#This Row],[Momento de ejecución]],C_S_Digital[[#This Row],[Forma de ejecución]]),C_Atributos,C_Peso,"",0)</f>
        <v>0.25</v>
      </c>
      <c r="T102" s="141" t="str">
        <f>IFERROR(_xlfn.XLOOKUP(C_S_Digital[[#This Row],[Momento de ejecución]],C_Momento,C_Efecto,,0),"")</f>
        <v>Impacto</v>
      </c>
      <c r="U102" s="143" t="str">
        <f>IFERROR(IF(C_S_Digital[[#This Row],[Código riesgo]]&lt;&gt;C101,_xlfn.XLOOKUP(C102,R_S_Digital[Código Riesgo],#REF!,,0)*IF(C_S_Digital[[#This Row],[Efecto]]="Probabilidad",1-C_S_Digital[[#This Row],[Peso]],1),IF(C_S_Digital[[#This Row],[Efecto]]="Probabilidad",U101*(1-C_S_Digital[[#This Row],[Peso]]),U101)),"")</f>
        <v/>
      </c>
      <c r="V102" s="144" t="str">
        <f>IFERROR(IF(C_S_Digital[[#This Row],[Código riesgo]]&lt;&gt;C101,_xlfn.XLOOKUP(C_S_Digital[[#This Row],[Código riesgo]],R_S_Digital[Código Riesgo],#REF!,,0)*IF(C_S_Digital[[#This Row],[Efecto]]="Impacto",1-C_S_Digital[[#This Row],[Peso]],1),IF(C_S_Digital[[#This Row],[Efecto]]="Impacto",V101*(1-C_S_Digital[[#This Row],[Peso]]),V101)),"")</f>
        <v/>
      </c>
    </row>
    <row r="103" spans="1:22" s="5" customFormat="1" x14ac:dyDescent="0.25">
      <c r="A103" s="3">
        <v>98</v>
      </c>
      <c r="B103" s="85">
        <f>Mapa_RSD!B81</f>
        <v>0</v>
      </c>
      <c r="C103" s="136" t="e">
        <f>+R_S_Digital[[#This Row],[Código Riesgo]]</f>
        <v>#VALUE!</v>
      </c>
      <c r="D103" s="75"/>
      <c r="E103" s="141" t="str">
        <f>IF(C_S_Digital[[#This Row],[Responsable de ejecutar]]&lt;&gt;"",CONCATENATE(C_S_Digital[[#This Row],[Código riesgo]],"-",IF(C_S_Digital[[#This Row],[Código riesgo]]&lt;&gt;C102,1,RIGHT(E102,1)+1)),"")</f>
        <v/>
      </c>
      <c r="F103" s="147"/>
      <c r="G103" s="147"/>
      <c r="H103" s="147"/>
      <c r="I103" s="141" t="s">
        <v>105</v>
      </c>
      <c r="J103" s="141" t="s">
        <v>65</v>
      </c>
      <c r="K103" s="3"/>
      <c r="L103" s="3"/>
      <c r="M103" s="3"/>
      <c r="N103" s="3"/>
      <c r="O103" s="3"/>
      <c r="P103" s="3"/>
      <c r="Q103" s="145"/>
      <c r="R103" s="148"/>
      <c r="S103" s="137">
        <f>_xlfn.XLOOKUP(CONCATENATE(C_S_Digital[[#This Row],[Momento de ejecución]],C_S_Digital[[#This Row],[Forma de ejecución]]),C_Atributos,C_Peso,"",0)</f>
        <v>0.25</v>
      </c>
      <c r="T103" s="141" t="str">
        <f>IFERROR(_xlfn.XLOOKUP(C_S_Digital[[#This Row],[Momento de ejecución]],C_Momento,C_Efecto,,0),"")</f>
        <v>Impacto</v>
      </c>
      <c r="U103" s="143" t="str">
        <f>IFERROR(IF(C_S_Digital[[#This Row],[Código riesgo]]&lt;&gt;C102,_xlfn.XLOOKUP(C103,R_S_Digital[Código Riesgo],#REF!,,0)*IF(C_S_Digital[[#This Row],[Efecto]]="Probabilidad",1-C_S_Digital[[#This Row],[Peso]],1),IF(C_S_Digital[[#This Row],[Efecto]]="Probabilidad",U102*(1-C_S_Digital[[#This Row],[Peso]]),U102)),"")</f>
        <v/>
      </c>
      <c r="V103" s="144" t="str">
        <f>IFERROR(IF(C_S_Digital[[#This Row],[Código riesgo]]&lt;&gt;C102,_xlfn.XLOOKUP(C_S_Digital[[#This Row],[Código riesgo]],R_S_Digital[Código Riesgo],#REF!,,0)*IF(C_S_Digital[[#This Row],[Efecto]]="Impacto",1-C_S_Digital[[#This Row],[Peso]],1),IF(C_S_Digital[[#This Row],[Efecto]]="Impacto",V102*(1-C_S_Digital[[#This Row],[Peso]]),V102)),"")</f>
        <v/>
      </c>
    </row>
    <row r="104" spans="1:22" s="5" customFormat="1" x14ac:dyDescent="0.25">
      <c r="A104" s="3">
        <v>99</v>
      </c>
      <c r="B104" s="85">
        <f>Mapa_RSD!B82</f>
        <v>0</v>
      </c>
      <c r="C104" s="136" t="e">
        <f>+R_S_Digital[[#This Row],[Código Riesgo]]</f>
        <v>#VALUE!</v>
      </c>
      <c r="D104" s="75"/>
      <c r="E104" s="141" t="str">
        <f>IF(C_S_Digital[[#This Row],[Responsable de ejecutar]]&lt;&gt;"",CONCATENATE(C_S_Digital[[#This Row],[Código riesgo]],"-",IF(C_S_Digital[[#This Row],[Código riesgo]]&lt;&gt;C103,1,RIGHT(E103,1)+1)),"")</f>
        <v/>
      </c>
      <c r="F104" s="147"/>
      <c r="G104" s="147"/>
      <c r="H104" s="147"/>
      <c r="I104" s="141" t="s">
        <v>105</v>
      </c>
      <c r="J104" s="141" t="s">
        <v>65</v>
      </c>
      <c r="K104" s="3"/>
      <c r="L104" s="3"/>
      <c r="M104" s="3"/>
      <c r="N104" s="3"/>
      <c r="O104" s="3"/>
      <c r="P104" s="3"/>
      <c r="Q104" s="145"/>
      <c r="R104" s="148"/>
      <c r="S104" s="137">
        <f>_xlfn.XLOOKUP(CONCATENATE(C_S_Digital[[#This Row],[Momento de ejecución]],C_S_Digital[[#This Row],[Forma de ejecución]]),C_Atributos,C_Peso,"",0)</f>
        <v>0.25</v>
      </c>
      <c r="T104" s="141" t="str">
        <f>IFERROR(_xlfn.XLOOKUP(C_S_Digital[[#This Row],[Momento de ejecución]],C_Momento,C_Efecto,,0),"")</f>
        <v>Impacto</v>
      </c>
      <c r="U104" s="143" t="str">
        <f>IFERROR(IF(C_S_Digital[[#This Row],[Código riesgo]]&lt;&gt;C103,_xlfn.XLOOKUP(C104,R_S_Digital[Código Riesgo],#REF!,,0)*IF(C_S_Digital[[#This Row],[Efecto]]="Probabilidad",1-C_S_Digital[[#This Row],[Peso]],1),IF(C_S_Digital[[#This Row],[Efecto]]="Probabilidad",U103*(1-C_S_Digital[[#This Row],[Peso]]),U103)),"")</f>
        <v/>
      </c>
      <c r="V104" s="144" t="str">
        <f>IFERROR(IF(C_S_Digital[[#This Row],[Código riesgo]]&lt;&gt;C103,_xlfn.XLOOKUP(C_S_Digital[[#This Row],[Código riesgo]],R_S_Digital[Código Riesgo],#REF!,,0)*IF(C_S_Digital[[#This Row],[Efecto]]="Impacto",1-C_S_Digital[[#This Row],[Peso]],1),IF(C_S_Digital[[#This Row],[Efecto]]="Impacto",V103*(1-C_S_Digital[[#This Row],[Peso]]),V103)),"")</f>
        <v/>
      </c>
    </row>
    <row r="105" spans="1:22" s="5" customFormat="1" x14ac:dyDescent="0.25">
      <c r="A105" s="3">
        <v>100</v>
      </c>
      <c r="B105" s="85">
        <f>Mapa_RSD!B83</f>
        <v>0</v>
      </c>
      <c r="C105" s="136" t="e">
        <f>+R_S_Digital[[#This Row],[Código Riesgo]]</f>
        <v>#VALUE!</v>
      </c>
      <c r="D105" s="75"/>
      <c r="E105" s="141" t="str">
        <f>IF(C_S_Digital[[#This Row],[Responsable de ejecutar]]&lt;&gt;"",CONCATENATE(C_S_Digital[[#This Row],[Código riesgo]],"-",IF(C_S_Digital[[#This Row],[Código riesgo]]&lt;&gt;C104,1,RIGHT(E104,1)+1)),"")</f>
        <v/>
      </c>
      <c r="F105" s="147"/>
      <c r="G105" s="147"/>
      <c r="H105" s="147"/>
      <c r="I105" s="141" t="s">
        <v>105</v>
      </c>
      <c r="J105" s="141" t="s">
        <v>65</v>
      </c>
      <c r="K105" s="3"/>
      <c r="L105" s="3"/>
      <c r="M105" s="3"/>
      <c r="N105" s="3"/>
      <c r="O105" s="147"/>
      <c r="P105" s="147"/>
      <c r="Q105" s="145"/>
      <c r="R105" s="148"/>
      <c r="S105" s="137">
        <f>_xlfn.XLOOKUP(CONCATENATE(C_S_Digital[[#This Row],[Momento de ejecución]],C_S_Digital[[#This Row],[Forma de ejecución]]),C_Atributos,C_Peso,"",0)</f>
        <v>0.25</v>
      </c>
      <c r="T105" s="141" t="str">
        <f>IFERROR(_xlfn.XLOOKUP(C_S_Digital[[#This Row],[Momento de ejecución]],C_Momento,C_Efecto,,0),"")</f>
        <v>Impacto</v>
      </c>
      <c r="U105" s="143" t="str">
        <f>IFERROR(IF(C_S_Digital[[#This Row],[Código riesgo]]&lt;&gt;C104,_xlfn.XLOOKUP(C105,R_S_Digital[Código Riesgo],#REF!,,0)*IF(C_S_Digital[[#This Row],[Efecto]]="Probabilidad",1-C_S_Digital[[#This Row],[Peso]],1),IF(C_S_Digital[[#This Row],[Efecto]]="Probabilidad",U104*(1-C_S_Digital[[#This Row],[Peso]]),U104)),"")</f>
        <v/>
      </c>
      <c r="V105" s="144" t="str">
        <f>IFERROR(IF(C_S_Digital[[#This Row],[Código riesgo]]&lt;&gt;C104,_xlfn.XLOOKUP(C_S_Digital[[#This Row],[Código riesgo]],R_S_Digital[Código Riesgo],#REF!,,0)*IF(C_S_Digital[[#This Row],[Efecto]]="Impacto",1-C_S_Digital[[#This Row],[Peso]],1),IF(C_S_Digital[[#This Row],[Efecto]]="Impacto",V104*(1-C_S_Digital[[#This Row],[Peso]]),V104)),"")</f>
        <v/>
      </c>
    </row>
    <row r="106" spans="1:22" s="5" customFormat="1" x14ac:dyDescent="0.25">
      <c r="A106" s="3">
        <v>101</v>
      </c>
      <c r="B106" s="85">
        <f>Mapa_RSD!B84</f>
        <v>0</v>
      </c>
      <c r="C106" s="136" t="e">
        <f>+R_S_Digital[[#This Row],[Código Riesgo]]</f>
        <v>#VALUE!</v>
      </c>
      <c r="D106" s="75"/>
      <c r="E106" s="141" t="str">
        <f>IF(C_S_Digital[[#This Row],[Responsable de ejecutar]]&lt;&gt;"",CONCATENATE(C_S_Digital[[#This Row],[Código riesgo]],"-",IF(C_S_Digital[[#This Row],[Código riesgo]]&lt;&gt;C105,1,RIGHT(E105,1)+1)),"")</f>
        <v/>
      </c>
      <c r="F106" s="147"/>
      <c r="G106" s="147"/>
      <c r="H106" s="147"/>
      <c r="I106" s="141" t="s">
        <v>105</v>
      </c>
      <c r="J106" s="141" t="s">
        <v>65</v>
      </c>
      <c r="K106" s="3"/>
      <c r="L106" s="3"/>
      <c r="M106" s="3"/>
      <c r="N106" s="3"/>
      <c r="O106" s="147"/>
      <c r="P106" s="147"/>
      <c r="Q106" s="145"/>
      <c r="R106" s="148"/>
      <c r="S106" s="137">
        <f>_xlfn.XLOOKUP(CONCATENATE(C_S_Digital[[#This Row],[Momento de ejecución]],C_S_Digital[[#This Row],[Forma de ejecución]]),C_Atributos,C_Peso,"",0)</f>
        <v>0.25</v>
      </c>
      <c r="T106" s="141" t="str">
        <f>IFERROR(_xlfn.XLOOKUP(C_S_Digital[[#This Row],[Momento de ejecución]],C_Momento,C_Efecto,,0),"")</f>
        <v>Impacto</v>
      </c>
      <c r="U106" s="143" t="str">
        <f>IFERROR(IF(C_S_Digital[[#This Row],[Código riesgo]]&lt;&gt;C105,_xlfn.XLOOKUP(C106,R_S_Digital[Código Riesgo],#REF!,,0)*IF(C_S_Digital[[#This Row],[Efecto]]="Probabilidad",1-C_S_Digital[[#This Row],[Peso]],1),IF(C_S_Digital[[#This Row],[Efecto]]="Probabilidad",U105*(1-C_S_Digital[[#This Row],[Peso]]),U105)),"")</f>
        <v/>
      </c>
      <c r="V106" s="144" t="str">
        <f>IFERROR(IF(C_S_Digital[[#This Row],[Código riesgo]]&lt;&gt;C105,_xlfn.XLOOKUP(C_S_Digital[[#This Row],[Código riesgo]],R_S_Digital[Código Riesgo],#REF!,,0)*IF(C_S_Digital[[#This Row],[Efecto]]="Impacto",1-C_S_Digital[[#This Row],[Peso]],1),IF(C_S_Digital[[#This Row],[Efecto]]="Impacto",V105*(1-C_S_Digital[[#This Row],[Peso]]),V105)),"")</f>
        <v/>
      </c>
    </row>
    <row r="107" spans="1:22" s="5" customFormat="1" x14ac:dyDescent="0.25">
      <c r="A107" s="3">
        <v>102</v>
      </c>
      <c r="B107" s="85">
        <f>Mapa_RSD!B85</f>
        <v>0</v>
      </c>
      <c r="C107" s="136" t="e">
        <f>+R_S_Digital[[#This Row],[Código Riesgo]]</f>
        <v>#VALUE!</v>
      </c>
      <c r="D107" s="149"/>
      <c r="E107" s="141" t="str">
        <f>IF(C_S_Digital[[#This Row],[Responsable de ejecutar]]&lt;&gt;"",CONCATENATE(C_S_Digital[[#This Row],[Código riesgo]],"-",IF(C_S_Digital[[#This Row],[Código riesgo]]&lt;&gt;C106,1,RIGHT(E106,1)+1)),"")</f>
        <v/>
      </c>
      <c r="F107" s="147"/>
      <c r="G107" s="147"/>
      <c r="H107" s="147"/>
      <c r="I107" s="141" t="s">
        <v>105</v>
      </c>
      <c r="J107" s="141" t="s">
        <v>65</v>
      </c>
      <c r="K107" s="3"/>
      <c r="L107" s="3"/>
      <c r="M107" s="3"/>
      <c r="N107" s="3"/>
      <c r="O107" s="147"/>
      <c r="P107" s="147"/>
      <c r="Q107" s="145"/>
      <c r="R107" s="148"/>
      <c r="S107" s="137">
        <f>_xlfn.XLOOKUP(CONCATENATE(C_S_Digital[[#This Row],[Momento de ejecución]],C_S_Digital[[#This Row],[Forma de ejecución]]),C_Atributos,C_Peso,"",0)</f>
        <v>0.25</v>
      </c>
      <c r="T107" s="141" t="str">
        <f>IFERROR(_xlfn.XLOOKUP(C_S_Digital[[#This Row],[Momento de ejecución]],C_Momento,C_Efecto,,0),"")</f>
        <v>Impacto</v>
      </c>
      <c r="U107" s="143" t="str">
        <f>IFERROR(IF(C_S_Digital[[#This Row],[Código riesgo]]&lt;&gt;C106,_xlfn.XLOOKUP(C107,R_S_Digital[Código Riesgo],#REF!,,0)*IF(C_S_Digital[[#This Row],[Efecto]]="Probabilidad",1-C_S_Digital[[#This Row],[Peso]],1),IF(C_S_Digital[[#This Row],[Efecto]]="Probabilidad",U106*(1-C_S_Digital[[#This Row],[Peso]]),U106)),"")</f>
        <v/>
      </c>
      <c r="V107" s="144" t="str">
        <f>IFERROR(IF(C_S_Digital[[#This Row],[Código riesgo]]&lt;&gt;C106,_xlfn.XLOOKUP(C_S_Digital[[#This Row],[Código riesgo]],R_S_Digital[Código Riesgo],#REF!,,0)*IF(C_S_Digital[[#This Row],[Efecto]]="Impacto",1-C_S_Digital[[#This Row],[Peso]],1),IF(C_S_Digital[[#This Row],[Efecto]]="Impacto",V106*(1-C_S_Digital[[#This Row],[Peso]]),V106)),"")</f>
        <v/>
      </c>
    </row>
    <row r="108" spans="1:22" s="5" customFormat="1" x14ac:dyDescent="0.25">
      <c r="A108" s="3">
        <v>103</v>
      </c>
      <c r="B108" s="85">
        <f>Mapa_RSD!B86</f>
        <v>0</v>
      </c>
      <c r="C108" s="136" t="e">
        <f>+R_S_Digital[[#This Row],[Código Riesgo]]</f>
        <v>#VALUE!</v>
      </c>
      <c r="D108" s="75"/>
      <c r="E108" s="141" t="str">
        <f>IF(C_S_Digital[[#This Row],[Responsable de ejecutar]]&lt;&gt;"",CONCATENATE(C_S_Digital[[#This Row],[Código riesgo]],"-",IF(C_S_Digital[[#This Row],[Código riesgo]]&lt;&gt;C107,1,RIGHT(E107,1)+1)),"")</f>
        <v/>
      </c>
      <c r="F108" s="147"/>
      <c r="G108" s="147"/>
      <c r="H108" s="147"/>
      <c r="I108" s="141" t="s">
        <v>105</v>
      </c>
      <c r="J108" s="141" t="s">
        <v>65</v>
      </c>
      <c r="K108" s="3"/>
      <c r="L108" s="3"/>
      <c r="M108" s="3"/>
      <c r="N108" s="3"/>
      <c r="O108" s="3"/>
      <c r="P108" s="3"/>
      <c r="Q108" s="145"/>
      <c r="R108" s="148"/>
      <c r="S108" s="137">
        <f>_xlfn.XLOOKUP(CONCATENATE(C_S_Digital[[#This Row],[Momento de ejecución]],C_S_Digital[[#This Row],[Forma de ejecución]]),C_Atributos,C_Peso,"",0)</f>
        <v>0.25</v>
      </c>
      <c r="T108" s="141" t="str">
        <f>IFERROR(_xlfn.XLOOKUP(C_S_Digital[[#This Row],[Momento de ejecución]],C_Momento,C_Efecto,,0),"")</f>
        <v>Impacto</v>
      </c>
      <c r="U108" s="143" t="str">
        <f>IFERROR(IF(C_S_Digital[[#This Row],[Código riesgo]]&lt;&gt;C107,_xlfn.XLOOKUP(C108,R_S_Digital[Código Riesgo],#REF!,,0)*IF(C_S_Digital[[#This Row],[Efecto]]="Probabilidad",1-C_S_Digital[[#This Row],[Peso]],1),IF(C_S_Digital[[#This Row],[Efecto]]="Probabilidad",U107*(1-C_S_Digital[[#This Row],[Peso]]),U107)),"")</f>
        <v/>
      </c>
      <c r="V108" s="144" t="str">
        <f>IFERROR(IF(C_S_Digital[[#This Row],[Código riesgo]]&lt;&gt;C107,_xlfn.XLOOKUP(C_S_Digital[[#This Row],[Código riesgo]],R_S_Digital[Código Riesgo],#REF!,,0)*IF(C_S_Digital[[#This Row],[Efecto]]="Impacto",1-C_S_Digital[[#This Row],[Peso]],1),IF(C_S_Digital[[#This Row],[Efecto]]="Impacto",V107*(1-C_S_Digital[[#This Row],[Peso]]),V107)),"")</f>
        <v/>
      </c>
    </row>
    <row r="109" spans="1:22" s="5" customFormat="1" x14ac:dyDescent="0.25">
      <c r="A109" s="3">
        <v>104</v>
      </c>
      <c r="B109" s="85">
        <f>Mapa_RSD!B87</f>
        <v>0</v>
      </c>
      <c r="C109" s="136" t="e">
        <f>+R_S_Digital[[#This Row],[Código Riesgo]]</f>
        <v>#VALUE!</v>
      </c>
      <c r="D109" s="75"/>
      <c r="E109" s="141" t="str">
        <f>IF(C_S_Digital[[#This Row],[Responsable de ejecutar]]&lt;&gt;"",CONCATENATE(C_S_Digital[[#This Row],[Código riesgo]],"-",IF(C_S_Digital[[#This Row],[Código riesgo]]&lt;&gt;C108,1,RIGHT(E108,1)+1)),"")</f>
        <v/>
      </c>
      <c r="F109" s="142"/>
      <c r="G109" s="142"/>
      <c r="H109" s="142"/>
      <c r="I109" s="141" t="s">
        <v>105</v>
      </c>
      <c r="J109" s="141" t="s">
        <v>65</v>
      </c>
      <c r="K109" s="3"/>
      <c r="L109" s="3"/>
      <c r="M109" s="3"/>
      <c r="N109" s="3"/>
      <c r="O109" s="3"/>
      <c r="P109" s="3"/>
      <c r="Q109" s="145"/>
      <c r="R109" s="148"/>
      <c r="S109" s="137">
        <f>_xlfn.XLOOKUP(CONCATENATE(C_S_Digital[[#This Row],[Momento de ejecución]],C_S_Digital[[#This Row],[Forma de ejecución]]),C_Atributos,C_Peso,"",0)</f>
        <v>0.25</v>
      </c>
      <c r="T109" s="141" t="str">
        <f>IFERROR(_xlfn.XLOOKUP(C_S_Digital[[#This Row],[Momento de ejecución]],C_Momento,C_Efecto,,0),"")</f>
        <v>Impacto</v>
      </c>
      <c r="U109" s="143" t="str">
        <f>IFERROR(IF(C_S_Digital[[#This Row],[Código riesgo]]&lt;&gt;C108,_xlfn.XLOOKUP(C109,R_S_Digital[Código Riesgo],#REF!,,0)*IF(C_S_Digital[[#This Row],[Efecto]]="Probabilidad",1-C_S_Digital[[#This Row],[Peso]],1),IF(C_S_Digital[[#This Row],[Efecto]]="Probabilidad",U108*(1-C_S_Digital[[#This Row],[Peso]]),U108)),"")</f>
        <v/>
      </c>
      <c r="V109" s="144" t="str">
        <f>IFERROR(IF(C_S_Digital[[#This Row],[Código riesgo]]&lt;&gt;C108,_xlfn.XLOOKUP(C_S_Digital[[#This Row],[Código riesgo]],R_S_Digital[Código Riesgo],#REF!,,0)*IF(C_S_Digital[[#This Row],[Efecto]]="Impacto",1-C_S_Digital[[#This Row],[Peso]],1),IF(C_S_Digital[[#This Row],[Efecto]]="Impacto",V108*(1-C_S_Digital[[#This Row],[Peso]]),V108)),"")</f>
        <v/>
      </c>
    </row>
    <row r="110" spans="1:22" s="5" customFormat="1" x14ac:dyDescent="0.25">
      <c r="A110" s="3">
        <v>105</v>
      </c>
      <c r="B110" s="85">
        <f>Mapa_RSD!B88</f>
        <v>0</v>
      </c>
      <c r="C110" s="136" t="e">
        <f>+R_S_Digital[[#This Row],[Código Riesgo]]</f>
        <v>#VALUE!</v>
      </c>
      <c r="D110" s="75"/>
      <c r="E110" s="141" t="str">
        <f>IF(C_S_Digital[[#This Row],[Responsable de ejecutar]]&lt;&gt;"",CONCATENATE(C_S_Digital[[#This Row],[Código riesgo]],"-",IF(C_S_Digital[[#This Row],[Código riesgo]]&lt;&gt;C109,1,RIGHT(E109,1)+1)),"")</f>
        <v/>
      </c>
      <c r="F110" s="147"/>
      <c r="G110" s="147"/>
      <c r="H110" s="147"/>
      <c r="I110" s="141" t="s">
        <v>105</v>
      </c>
      <c r="J110" s="141" t="s">
        <v>65</v>
      </c>
      <c r="K110" s="3"/>
      <c r="L110" s="3"/>
      <c r="M110" s="3"/>
      <c r="N110" s="3"/>
      <c r="O110" s="3"/>
      <c r="P110" s="3"/>
      <c r="Q110" s="145"/>
      <c r="R110" s="148"/>
      <c r="S110" s="137">
        <f>_xlfn.XLOOKUP(CONCATENATE(C_S_Digital[[#This Row],[Momento de ejecución]],C_S_Digital[[#This Row],[Forma de ejecución]]),C_Atributos,C_Peso,"",0)</f>
        <v>0.25</v>
      </c>
      <c r="T110" s="141" t="str">
        <f>IFERROR(_xlfn.XLOOKUP(C_S_Digital[[#This Row],[Momento de ejecución]],C_Momento,C_Efecto,,0),"")</f>
        <v>Impacto</v>
      </c>
      <c r="U110" s="143" t="str">
        <f>IFERROR(IF(C_S_Digital[[#This Row],[Código riesgo]]&lt;&gt;C109,_xlfn.XLOOKUP(C110,R_S_Digital[Código Riesgo],#REF!,,0)*IF(C_S_Digital[[#This Row],[Efecto]]="Probabilidad",1-C_S_Digital[[#This Row],[Peso]],1),IF(C_S_Digital[[#This Row],[Efecto]]="Probabilidad",U109*(1-C_S_Digital[[#This Row],[Peso]]),U109)),"")</f>
        <v/>
      </c>
      <c r="V110" s="144" t="str">
        <f>IFERROR(IF(C_S_Digital[[#This Row],[Código riesgo]]&lt;&gt;C109,_xlfn.XLOOKUP(C_S_Digital[[#This Row],[Código riesgo]],R_S_Digital[Código Riesgo],#REF!,,0)*IF(C_S_Digital[[#This Row],[Efecto]]="Impacto",1-C_S_Digital[[#This Row],[Peso]],1),IF(C_S_Digital[[#This Row],[Efecto]]="Impacto",V109*(1-C_S_Digital[[#This Row],[Peso]]),V109)),"")</f>
        <v/>
      </c>
    </row>
    <row r="111" spans="1:22" s="5" customFormat="1" x14ac:dyDescent="0.25">
      <c r="A111" s="3">
        <v>106</v>
      </c>
      <c r="B111" s="85">
        <f>Mapa_RSD!B89</f>
        <v>0</v>
      </c>
      <c r="C111" s="136" t="e">
        <f>+R_S_Digital[[#This Row],[Código Riesgo]]</f>
        <v>#VALUE!</v>
      </c>
      <c r="D111" s="75"/>
      <c r="E111" s="141" t="str">
        <f>IF(C_S_Digital[[#This Row],[Responsable de ejecutar]]&lt;&gt;"",CONCATENATE(C_S_Digital[[#This Row],[Código riesgo]],"-",IF(C_S_Digital[[#This Row],[Código riesgo]]&lt;&gt;C110,1,RIGHT(E110,1)+1)),"")</f>
        <v/>
      </c>
      <c r="F111" s="147"/>
      <c r="G111" s="147"/>
      <c r="H111" s="147"/>
      <c r="I111" s="141" t="s">
        <v>105</v>
      </c>
      <c r="J111" s="141" t="s">
        <v>65</v>
      </c>
      <c r="K111" s="3"/>
      <c r="L111" s="3"/>
      <c r="M111" s="3"/>
      <c r="N111" s="3"/>
      <c r="O111" s="147"/>
      <c r="P111" s="147"/>
      <c r="Q111" s="145"/>
      <c r="R111" s="148"/>
      <c r="S111" s="137">
        <f>_xlfn.XLOOKUP(CONCATENATE(C_S_Digital[[#This Row],[Momento de ejecución]],C_S_Digital[[#This Row],[Forma de ejecución]]),C_Atributos,C_Peso,"",0)</f>
        <v>0.25</v>
      </c>
      <c r="T111" s="141" t="str">
        <f>IFERROR(_xlfn.XLOOKUP(C_S_Digital[[#This Row],[Momento de ejecución]],C_Momento,C_Efecto,,0),"")</f>
        <v>Impacto</v>
      </c>
      <c r="U111" s="143" t="str">
        <f>IFERROR(IF(C_S_Digital[[#This Row],[Código riesgo]]&lt;&gt;C110,_xlfn.XLOOKUP(C111,R_S_Digital[Código Riesgo],#REF!,,0)*IF(C_S_Digital[[#This Row],[Efecto]]="Probabilidad",1-C_S_Digital[[#This Row],[Peso]],1),IF(C_S_Digital[[#This Row],[Efecto]]="Probabilidad",U110*(1-C_S_Digital[[#This Row],[Peso]]),U110)),"")</f>
        <v/>
      </c>
      <c r="V111" s="144" t="str">
        <f>IFERROR(IF(C_S_Digital[[#This Row],[Código riesgo]]&lt;&gt;C110,_xlfn.XLOOKUP(C_S_Digital[[#This Row],[Código riesgo]],R_S_Digital[Código Riesgo],#REF!,,0)*IF(C_S_Digital[[#This Row],[Efecto]]="Impacto",1-C_S_Digital[[#This Row],[Peso]],1),IF(C_S_Digital[[#This Row],[Efecto]]="Impacto",V110*(1-C_S_Digital[[#This Row],[Peso]]),V110)),"")</f>
        <v/>
      </c>
    </row>
    <row r="112" spans="1:22" s="5" customFormat="1" x14ac:dyDescent="0.25">
      <c r="A112" s="3">
        <v>107</v>
      </c>
      <c r="B112" s="85">
        <f>Mapa_RSD!B90</f>
        <v>0</v>
      </c>
      <c r="C112" s="136" t="e">
        <f>+R_S_Digital[[#This Row],[Código Riesgo]]</f>
        <v>#VALUE!</v>
      </c>
      <c r="D112" s="75"/>
      <c r="E112" s="141" t="str">
        <f>IF(C_S_Digital[[#This Row],[Responsable de ejecutar]]&lt;&gt;"",CONCATENATE(C_S_Digital[[#This Row],[Código riesgo]],"-",IF(C_S_Digital[[#This Row],[Código riesgo]]&lt;&gt;C111,1,RIGHT(E111,1)+1)),"")</f>
        <v/>
      </c>
      <c r="F112" s="142"/>
      <c r="G112" s="142"/>
      <c r="H112" s="142"/>
      <c r="I112" s="141" t="s">
        <v>105</v>
      </c>
      <c r="J112" s="141" t="s">
        <v>65</v>
      </c>
      <c r="K112" s="3"/>
      <c r="L112" s="3"/>
      <c r="M112" s="3"/>
      <c r="N112" s="3"/>
      <c r="O112" s="147"/>
      <c r="P112" s="147"/>
      <c r="Q112" s="145"/>
      <c r="R112" s="148"/>
      <c r="S112" s="137">
        <f>_xlfn.XLOOKUP(CONCATENATE(C_S_Digital[[#This Row],[Momento de ejecución]],C_S_Digital[[#This Row],[Forma de ejecución]]),C_Atributos,C_Peso,"",0)</f>
        <v>0.25</v>
      </c>
      <c r="T112" s="141" t="str">
        <f>IFERROR(_xlfn.XLOOKUP(C_S_Digital[[#This Row],[Momento de ejecución]],C_Momento,C_Efecto,,0),"")</f>
        <v>Impacto</v>
      </c>
      <c r="U112" s="143" t="str">
        <f>IFERROR(IF(C_S_Digital[[#This Row],[Código riesgo]]&lt;&gt;C111,_xlfn.XLOOKUP(C112,R_S_Digital[Código Riesgo],#REF!,,0)*IF(C_S_Digital[[#This Row],[Efecto]]="Probabilidad",1-C_S_Digital[[#This Row],[Peso]],1),IF(C_S_Digital[[#This Row],[Efecto]]="Probabilidad",U111*(1-C_S_Digital[[#This Row],[Peso]]),U111)),"")</f>
        <v/>
      </c>
      <c r="V112" s="144" t="str">
        <f>IFERROR(IF(C_S_Digital[[#This Row],[Código riesgo]]&lt;&gt;C111,_xlfn.XLOOKUP(C_S_Digital[[#This Row],[Código riesgo]],R_S_Digital[Código Riesgo],#REF!,,0)*IF(C_S_Digital[[#This Row],[Efecto]]="Impacto",1-C_S_Digital[[#This Row],[Peso]],1),IF(C_S_Digital[[#This Row],[Efecto]]="Impacto",V111*(1-C_S_Digital[[#This Row],[Peso]]),V111)),"")</f>
        <v/>
      </c>
    </row>
    <row r="113" spans="1:22" s="5" customFormat="1" x14ac:dyDescent="0.25">
      <c r="A113" s="3">
        <v>108</v>
      </c>
      <c r="B113" s="85">
        <f>Mapa_RSD!B91</f>
        <v>0</v>
      </c>
      <c r="C113" s="136" t="e">
        <f>+R_S_Digital[[#This Row],[Código Riesgo]]</f>
        <v>#VALUE!</v>
      </c>
      <c r="D113" s="149"/>
      <c r="E113" s="141" t="str">
        <f>IF(C_S_Digital[[#This Row],[Responsable de ejecutar]]&lt;&gt;"",CONCATENATE(C_S_Digital[[#This Row],[Código riesgo]],"-",IF(C_S_Digital[[#This Row],[Código riesgo]]&lt;&gt;C112,1,RIGHT(E112,1)+1)),"")</f>
        <v/>
      </c>
      <c r="F113" s="147"/>
      <c r="G113" s="147"/>
      <c r="H113" s="147"/>
      <c r="I113" s="141" t="s">
        <v>105</v>
      </c>
      <c r="J113" s="141" t="s">
        <v>65</v>
      </c>
      <c r="K113" s="3"/>
      <c r="L113" s="3"/>
      <c r="M113" s="3"/>
      <c r="N113" s="3"/>
      <c r="O113" s="147"/>
      <c r="P113" s="147"/>
      <c r="Q113" s="145"/>
      <c r="R113" s="148"/>
      <c r="S113" s="137">
        <f>_xlfn.XLOOKUP(CONCATENATE(C_S_Digital[[#This Row],[Momento de ejecución]],C_S_Digital[[#This Row],[Forma de ejecución]]),C_Atributos,C_Peso,"",0)</f>
        <v>0.25</v>
      </c>
      <c r="T113" s="141" t="str">
        <f>IFERROR(_xlfn.XLOOKUP(C_S_Digital[[#This Row],[Momento de ejecución]],C_Momento,C_Efecto,,0),"")</f>
        <v>Impacto</v>
      </c>
      <c r="U113" s="143" t="str">
        <f>IFERROR(IF(C_S_Digital[[#This Row],[Código riesgo]]&lt;&gt;C112,_xlfn.XLOOKUP(C113,R_S_Digital[Código Riesgo],#REF!,,0)*IF(C_S_Digital[[#This Row],[Efecto]]="Probabilidad",1-C_S_Digital[[#This Row],[Peso]],1),IF(C_S_Digital[[#This Row],[Efecto]]="Probabilidad",U112*(1-C_S_Digital[[#This Row],[Peso]]),U112)),"")</f>
        <v/>
      </c>
      <c r="V113" s="144" t="str">
        <f>IFERROR(IF(C_S_Digital[[#This Row],[Código riesgo]]&lt;&gt;C112,_xlfn.XLOOKUP(C_S_Digital[[#This Row],[Código riesgo]],R_S_Digital[Código Riesgo],#REF!,,0)*IF(C_S_Digital[[#This Row],[Efecto]]="Impacto",1-C_S_Digital[[#This Row],[Peso]],1),IF(C_S_Digital[[#This Row],[Efecto]]="Impacto",V112*(1-C_S_Digital[[#This Row],[Peso]]),V112)),"")</f>
        <v/>
      </c>
    </row>
    <row r="114" spans="1:22" s="5" customFormat="1" x14ac:dyDescent="0.25">
      <c r="A114" s="3">
        <v>109</v>
      </c>
      <c r="B114" s="85">
        <f>Mapa_RSD!B92</f>
        <v>0</v>
      </c>
      <c r="C114" s="136" t="e">
        <f>+R_S_Digital[[#This Row],[Código Riesgo]]</f>
        <v>#VALUE!</v>
      </c>
      <c r="D114" s="75"/>
      <c r="E114" s="141" t="str">
        <f>IF(C_S_Digital[[#This Row],[Responsable de ejecutar]]&lt;&gt;"",CONCATENATE(C_S_Digital[[#This Row],[Código riesgo]],"-",IF(C_S_Digital[[#This Row],[Código riesgo]]&lt;&gt;C113,1,RIGHT(E113,1)+1)),"")</f>
        <v/>
      </c>
      <c r="F114" s="147"/>
      <c r="G114" s="147"/>
      <c r="H114" s="147"/>
      <c r="I114" s="141" t="s">
        <v>105</v>
      </c>
      <c r="J114" s="141" t="s">
        <v>65</v>
      </c>
      <c r="K114" s="3"/>
      <c r="L114" s="3"/>
      <c r="M114" s="3"/>
      <c r="N114" s="141"/>
      <c r="O114" s="142"/>
      <c r="P114" s="142"/>
      <c r="Q114" s="145"/>
      <c r="R114" s="145"/>
      <c r="S114" s="137">
        <f>_xlfn.XLOOKUP(CONCATENATE(C_S_Digital[[#This Row],[Momento de ejecución]],C_S_Digital[[#This Row],[Forma de ejecución]]),C_Atributos,C_Peso,"",0)</f>
        <v>0.25</v>
      </c>
      <c r="T114" s="141" t="str">
        <f>IFERROR(_xlfn.XLOOKUP(C_S_Digital[[#This Row],[Momento de ejecución]],C_Momento,C_Efecto,,0),"")</f>
        <v>Impacto</v>
      </c>
      <c r="U114" s="143" t="str">
        <f>IFERROR(IF(C_S_Digital[[#This Row],[Código riesgo]]&lt;&gt;C113,_xlfn.XLOOKUP(C114,R_S_Digital[Código Riesgo],#REF!,,0)*IF(C_S_Digital[[#This Row],[Efecto]]="Probabilidad",1-C_S_Digital[[#This Row],[Peso]],1),IF(C_S_Digital[[#This Row],[Efecto]]="Probabilidad",U113*(1-C_S_Digital[[#This Row],[Peso]]),U113)),"")</f>
        <v/>
      </c>
      <c r="V114" s="144" t="str">
        <f>IFERROR(IF(C_S_Digital[[#This Row],[Código riesgo]]&lt;&gt;C113,_xlfn.XLOOKUP(C_S_Digital[[#This Row],[Código riesgo]],R_S_Digital[Código Riesgo],#REF!,,0)*IF(C_S_Digital[[#This Row],[Efecto]]="Impacto",1-C_S_Digital[[#This Row],[Peso]],1),IF(C_S_Digital[[#This Row],[Efecto]]="Impacto",V113*(1-C_S_Digital[[#This Row],[Peso]]),V113)),"")</f>
        <v/>
      </c>
    </row>
    <row r="115" spans="1:22" s="5" customFormat="1" x14ac:dyDescent="0.25">
      <c r="A115" s="3">
        <v>110</v>
      </c>
      <c r="B115" s="85">
        <f>Mapa_RSD!B93</f>
        <v>0</v>
      </c>
      <c r="C115" s="136" t="e">
        <f>+R_S_Digital[[#This Row],[Código Riesgo]]</f>
        <v>#VALUE!</v>
      </c>
      <c r="D115" s="75"/>
      <c r="E115" s="141" t="str">
        <f>IF(C_S_Digital[[#This Row],[Responsable de ejecutar]]&lt;&gt;"",CONCATENATE(C_S_Digital[[#This Row],[Código riesgo]],"-",IF(C_S_Digital[[#This Row],[Código riesgo]]&lt;&gt;C114,1,RIGHT(E114,1)+1)),"")</f>
        <v/>
      </c>
      <c r="F115" s="142"/>
      <c r="G115" s="142"/>
      <c r="H115" s="142"/>
      <c r="I115" s="141" t="s">
        <v>105</v>
      </c>
      <c r="J115" s="141" t="s">
        <v>65</v>
      </c>
      <c r="K115" s="3"/>
      <c r="L115" s="3"/>
      <c r="M115" s="3"/>
      <c r="N115" s="3"/>
      <c r="O115" s="3"/>
      <c r="P115" s="3"/>
      <c r="Q115" s="145"/>
      <c r="R115" s="148"/>
      <c r="S115" s="137">
        <f>_xlfn.XLOOKUP(CONCATENATE(C_S_Digital[[#This Row],[Momento de ejecución]],C_S_Digital[[#This Row],[Forma de ejecución]]),C_Atributos,C_Peso,"",0)</f>
        <v>0.25</v>
      </c>
      <c r="T115" s="141" t="str">
        <f>IFERROR(_xlfn.XLOOKUP(C_S_Digital[[#This Row],[Momento de ejecución]],C_Momento,C_Efecto,,0),"")</f>
        <v>Impacto</v>
      </c>
      <c r="U115" s="143" t="str">
        <f>IFERROR(IF(C_S_Digital[[#This Row],[Código riesgo]]&lt;&gt;C114,_xlfn.XLOOKUP(C115,R_S_Digital[Código Riesgo],#REF!,,0)*IF(C_S_Digital[[#This Row],[Efecto]]="Probabilidad",1-C_S_Digital[[#This Row],[Peso]],1),IF(C_S_Digital[[#This Row],[Efecto]]="Probabilidad",U114*(1-C_S_Digital[[#This Row],[Peso]]),U114)),"")</f>
        <v/>
      </c>
      <c r="V115" s="144" t="str">
        <f>IFERROR(IF(C_S_Digital[[#This Row],[Código riesgo]]&lt;&gt;C114,_xlfn.XLOOKUP(C_S_Digital[[#This Row],[Código riesgo]],R_S_Digital[Código Riesgo],#REF!,,0)*IF(C_S_Digital[[#This Row],[Efecto]]="Impacto",1-C_S_Digital[[#This Row],[Peso]],1),IF(C_S_Digital[[#This Row],[Efecto]]="Impacto",V114*(1-C_S_Digital[[#This Row],[Peso]]),V114)),"")</f>
        <v/>
      </c>
    </row>
    <row r="116" spans="1:22" s="5" customFormat="1" x14ac:dyDescent="0.25">
      <c r="A116" s="3">
        <v>111</v>
      </c>
      <c r="B116" s="85">
        <f>Mapa_RSD!B94</f>
        <v>0</v>
      </c>
      <c r="C116" s="136" t="e">
        <f>+R_S_Digital[[#This Row],[Código Riesgo]]</f>
        <v>#VALUE!</v>
      </c>
      <c r="D116" s="75"/>
      <c r="E116" s="141" t="str">
        <f>IF(C_S_Digital[[#This Row],[Responsable de ejecutar]]&lt;&gt;"",CONCATENATE(C_S_Digital[[#This Row],[Código riesgo]],"-",IF(C_S_Digital[[#This Row],[Código riesgo]]&lt;&gt;C115,1,RIGHT(E115,1)+1)),"")</f>
        <v/>
      </c>
      <c r="F116" s="147"/>
      <c r="G116" s="147"/>
      <c r="H116" s="147"/>
      <c r="I116" s="141" t="s">
        <v>105</v>
      </c>
      <c r="J116" s="141" t="s">
        <v>65</v>
      </c>
      <c r="K116" s="3"/>
      <c r="L116" s="3"/>
      <c r="M116" s="3"/>
      <c r="N116" s="3"/>
      <c r="O116" s="3"/>
      <c r="P116" s="3"/>
      <c r="Q116" s="145"/>
      <c r="R116" s="148"/>
      <c r="S116" s="137">
        <f>_xlfn.XLOOKUP(CONCATENATE(C_S_Digital[[#This Row],[Momento de ejecución]],C_S_Digital[[#This Row],[Forma de ejecución]]),C_Atributos,C_Peso,"",0)</f>
        <v>0.25</v>
      </c>
      <c r="T116" s="141" t="str">
        <f>IFERROR(_xlfn.XLOOKUP(C_S_Digital[[#This Row],[Momento de ejecución]],C_Momento,C_Efecto,,0),"")</f>
        <v>Impacto</v>
      </c>
      <c r="U116" s="143" t="str">
        <f>IFERROR(IF(C_S_Digital[[#This Row],[Código riesgo]]&lt;&gt;C115,_xlfn.XLOOKUP(C116,R_S_Digital[Código Riesgo],#REF!,,0)*IF(C_S_Digital[[#This Row],[Efecto]]="Probabilidad",1-C_S_Digital[[#This Row],[Peso]],1),IF(C_S_Digital[[#This Row],[Efecto]]="Probabilidad",U115*(1-C_S_Digital[[#This Row],[Peso]]),U115)),"")</f>
        <v/>
      </c>
      <c r="V116" s="144" t="str">
        <f>IFERROR(IF(C_S_Digital[[#This Row],[Código riesgo]]&lt;&gt;C115,_xlfn.XLOOKUP(C_S_Digital[[#This Row],[Código riesgo]],R_S_Digital[Código Riesgo],#REF!,,0)*IF(C_S_Digital[[#This Row],[Efecto]]="Impacto",1-C_S_Digital[[#This Row],[Peso]],1),IF(C_S_Digital[[#This Row],[Efecto]]="Impacto",V115*(1-C_S_Digital[[#This Row],[Peso]]),V115)),"")</f>
        <v/>
      </c>
    </row>
    <row r="117" spans="1:22" s="5" customFormat="1" x14ac:dyDescent="0.25">
      <c r="A117" s="3">
        <v>112</v>
      </c>
      <c r="B117" s="85">
        <f>Mapa_RSD!B95</f>
        <v>0</v>
      </c>
      <c r="C117" s="136" t="e">
        <f>+R_S_Digital[[#This Row],[Código Riesgo]]</f>
        <v>#VALUE!</v>
      </c>
      <c r="D117" s="75"/>
      <c r="E117" s="141" t="str">
        <f>IF(C_S_Digital[[#This Row],[Responsable de ejecutar]]&lt;&gt;"",CONCATENATE(C_S_Digital[[#This Row],[Código riesgo]],"-",IF(C_S_Digital[[#This Row],[Código riesgo]]&lt;&gt;C116,1,RIGHT(E116,1)+1)),"")</f>
        <v/>
      </c>
      <c r="F117" s="147"/>
      <c r="G117" s="147"/>
      <c r="H117" s="147"/>
      <c r="I117" s="141" t="s">
        <v>105</v>
      </c>
      <c r="J117" s="141" t="s">
        <v>65</v>
      </c>
      <c r="K117" s="3"/>
      <c r="L117" s="3"/>
      <c r="M117" s="3"/>
      <c r="N117" s="3"/>
      <c r="O117" s="147"/>
      <c r="P117" s="147"/>
      <c r="Q117" s="145"/>
      <c r="R117" s="148"/>
      <c r="S117" s="137">
        <f>_xlfn.XLOOKUP(CONCATENATE(C_S_Digital[[#This Row],[Momento de ejecución]],C_S_Digital[[#This Row],[Forma de ejecución]]),C_Atributos,C_Peso,"",0)</f>
        <v>0.25</v>
      </c>
      <c r="T117" s="141" t="str">
        <f>IFERROR(_xlfn.XLOOKUP(C_S_Digital[[#This Row],[Momento de ejecución]],C_Momento,C_Efecto,,0),"")</f>
        <v>Impacto</v>
      </c>
      <c r="U117" s="143" t="str">
        <f>IFERROR(IF(C_S_Digital[[#This Row],[Código riesgo]]&lt;&gt;C116,_xlfn.XLOOKUP(C117,R_S_Digital[Código Riesgo],#REF!,,0)*IF(C_S_Digital[[#This Row],[Efecto]]="Probabilidad",1-C_S_Digital[[#This Row],[Peso]],1),IF(C_S_Digital[[#This Row],[Efecto]]="Probabilidad",U116*(1-C_S_Digital[[#This Row],[Peso]]),U116)),"")</f>
        <v/>
      </c>
      <c r="V117" s="144" t="str">
        <f>IFERROR(IF(C_S_Digital[[#This Row],[Código riesgo]]&lt;&gt;C116,_xlfn.XLOOKUP(C_S_Digital[[#This Row],[Código riesgo]],R_S_Digital[Código Riesgo],#REF!,,0)*IF(C_S_Digital[[#This Row],[Efecto]]="Impacto",1-C_S_Digital[[#This Row],[Peso]],1),IF(C_S_Digital[[#This Row],[Efecto]]="Impacto",V116*(1-C_S_Digital[[#This Row],[Peso]]),V116)),"")</f>
        <v/>
      </c>
    </row>
    <row r="118" spans="1:22" s="5" customFormat="1" x14ac:dyDescent="0.25">
      <c r="A118" s="3">
        <v>113</v>
      </c>
      <c r="B118" s="85">
        <f>Mapa_RSD!B96</f>
        <v>0</v>
      </c>
      <c r="C118" s="136" t="e">
        <f>+R_S_Digital[[#This Row],[Código Riesgo]]</f>
        <v>#VALUE!</v>
      </c>
      <c r="D118" s="75"/>
      <c r="E118" s="141" t="str">
        <f>IF(C_S_Digital[[#This Row],[Responsable de ejecutar]]&lt;&gt;"",CONCATENATE(C_S_Digital[[#This Row],[Código riesgo]],"-",IF(C_S_Digital[[#This Row],[Código riesgo]]&lt;&gt;C117,1,RIGHT(E117,1)+1)),"")</f>
        <v/>
      </c>
      <c r="F118" s="142"/>
      <c r="G118" s="142"/>
      <c r="H118" s="142"/>
      <c r="I118" s="141" t="s">
        <v>105</v>
      </c>
      <c r="J118" s="141" t="s">
        <v>65</v>
      </c>
      <c r="K118" s="3"/>
      <c r="L118" s="3"/>
      <c r="M118" s="3"/>
      <c r="N118" s="3"/>
      <c r="O118" s="147"/>
      <c r="P118" s="147"/>
      <c r="Q118" s="145"/>
      <c r="R118" s="148"/>
      <c r="S118" s="137">
        <f>_xlfn.XLOOKUP(CONCATENATE(C_S_Digital[[#This Row],[Momento de ejecución]],C_S_Digital[[#This Row],[Forma de ejecución]]),C_Atributos,C_Peso,"",0)</f>
        <v>0.25</v>
      </c>
      <c r="T118" s="141" t="str">
        <f>IFERROR(_xlfn.XLOOKUP(C_S_Digital[[#This Row],[Momento de ejecución]],C_Momento,C_Efecto,,0),"")</f>
        <v>Impacto</v>
      </c>
      <c r="U118" s="143" t="str">
        <f>IFERROR(IF(C_S_Digital[[#This Row],[Código riesgo]]&lt;&gt;C117,_xlfn.XLOOKUP(C118,R_S_Digital[Código Riesgo],#REF!,,0)*IF(C_S_Digital[[#This Row],[Efecto]]="Probabilidad",1-C_S_Digital[[#This Row],[Peso]],1),IF(C_S_Digital[[#This Row],[Efecto]]="Probabilidad",U117*(1-C_S_Digital[[#This Row],[Peso]]),U117)),"")</f>
        <v/>
      </c>
      <c r="V118" s="144" t="str">
        <f>IFERROR(IF(C_S_Digital[[#This Row],[Código riesgo]]&lt;&gt;C117,_xlfn.XLOOKUP(C_S_Digital[[#This Row],[Código riesgo]],R_S_Digital[Código Riesgo],#REF!,,0)*IF(C_S_Digital[[#This Row],[Efecto]]="Impacto",1-C_S_Digital[[#This Row],[Peso]],1),IF(C_S_Digital[[#This Row],[Efecto]]="Impacto",V117*(1-C_S_Digital[[#This Row],[Peso]]),V117)),"")</f>
        <v/>
      </c>
    </row>
    <row r="119" spans="1:22" s="5" customFormat="1" x14ac:dyDescent="0.25">
      <c r="A119" s="3">
        <v>114</v>
      </c>
      <c r="B119" s="85">
        <f>Mapa_RSD!B97</f>
        <v>0</v>
      </c>
      <c r="C119" s="136" t="e">
        <f>+R_S_Digital[[#This Row],[Código Riesgo]]</f>
        <v>#VALUE!</v>
      </c>
      <c r="D119" s="149"/>
      <c r="E119" s="141" t="str">
        <f>IF(C_S_Digital[[#This Row],[Responsable de ejecutar]]&lt;&gt;"",CONCATENATE(C_S_Digital[[#This Row],[Código riesgo]],"-",IF(C_S_Digital[[#This Row],[Código riesgo]]&lt;&gt;C118,1,RIGHT(E118,1)+1)),"")</f>
        <v/>
      </c>
      <c r="F119" s="147"/>
      <c r="G119" s="147"/>
      <c r="H119" s="147"/>
      <c r="I119" s="141" t="s">
        <v>105</v>
      </c>
      <c r="J119" s="141" t="s">
        <v>65</v>
      </c>
      <c r="K119" s="3"/>
      <c r="L119" s="3"/>
      <c r="M119" s="3"/>
      <c r="N119" s="3"/>
      <c r="O119" s="147"/>
      <c r="P119" s="147"/>
      <c r="Q119" s="145"/>
      <c r="R119" s="148"/>
      <c r="S119" s="137">
        <f>_xlfn.XLOOKUP(CONCATENATE(C_S_Digital[[#This Row],[Momento de ejecución]],C_S_Digital[[#This Row],[Forma de ejecución]]),C_Atributos,C_Peso,"",0)</f>
        <v>0.25</v>
      </c>
      <c r="T119" s="141" t="str">
        <f>IFERROR(_xlfn.XLOOKUP(C_S_Digital[[#This Row],[Momento de ejecución]],C_Momento,C_Efecto,,0),"")</f>
        <v>Impacto</v>
      </c>
      <c r="U119" s="143" t="str">
        <f>IFERROR(IF(C_S_Digital[[#This Row],[Código riesgo]]&lt;&gt;C118,_xlfn.XLOOKUP(C119,R_S_Digital[Código Riesgo],#REF!,,0)*IF(C_S_Digital[[#This Row],[Efecto]]="Probabilidad",1-C_S_Digital[[#This Row],[Peso]],1),IF(C_S_Digital[[#This Row],[Efecto]]="Probabilidad",U118*(1-C_S_Digital[[#This Row],[Peso]]),U118)),"")</f>
        <v/>
      </c>
      <c r="V119" s="144" t="str">
        <f>IFERROR(IF(C_S_Digital[[#This Row],[Código riesgo]]&lt;&gt;C118,_xlfn.XLOOKUP(C_S_Digital[[#This Row],[Código riesgo]],R_S_Digital[Código Riesgo],#REF!,,0)*IF(C_S_Digital[[#This Row],[Efecto]]="Impacto",1-C_S_Digital[[#This Row],[Peso]],1),IF(C_S_Digital[[#This Row],[Efecto]]="Impacto",V118*(1-C_S_Digital[[#This Row],[Peso]]),V118)),"")</f>
        <v/>
      </c>
    </row>
    <row r="120" spans="1:22" s="5" customFormat="1" x14ac:dyDescent="0.25">
      <c r="A120" s="3">
        <v>115</v>
      </c>
      <c r="B120" s="85">
        <f>Mapa_RSD!B98</f>
        <v>0</v>
      </c>
      <c r="C120" s="136" t="e">
        <f>+R_S_Digital[[#This Row],[Código Riesgo]]</f>
        <v>#VALUE!</v>
      </c>
      <c r="D120" s="75"/>
      <c r="E120" s="141" t="str">
        <f>IF(C_S_Digital[[#This Row],[Responsable de ejecutar]]&lt;&gt;"",CONCATENATE(C_S_Digital[[#This Row],[Código riesgo]],"-",IF(C_S_Digital[[#This Row],[Código riesgo]]&lt;&gt;C119,1,RIGHT(E119,1)+1)),"")</f>
        <v/>
      </c>
      <c r="F120" s="147"/>
      <c r="G120" s="147"/>
      <c r="H120" s="147"/>
      <c r="I120" s="141" t="s">
        <v>105</v>
      </c>
      <c r="J120" s="141" t="s">
        <v>65</v>
      </c>
      <c r="K120" s="3"/>
      <c r="L120" s="3"/>
      <c r="M120" s="3"/>
      <c r="N120" s="141"/>
      <c r="O120" s="142"/>
      <c r="P120" s="142"/>
      <c r="Q120" s="145"/>
      <c r="R120" s="145"/>
      <c r="S120" s="137">
        <f>_xlfn.XLOOKUP(CONCATENATE(C_S_Digital[[#This Row],[Momento de ejecución]],C_S_Digital[[#This Row],[Forma de ejecución]]),C_Atributos,C_Peso,"",0)</f>
        <v>0.25</v>
      </c>
      <c r="T120" s="141" t="str">
        <f>IFERROR(_xlfn.XLOOKUP(C_S_Digital[[#This Row],[Momento de ejecución]],C_Momento,C_Efecto,,0),"")</f>
        <v>Impacto</v>
      </c>
      <c r="U120" s="143" t="str">
        <f>IFERROR(IF(C_S_Digital[[#This Row],[Código riesgo]]&lt;&gt;C119,_xlfn.XLOOKUP(C120,R_S_Digital[Código Riesgo],#REF!,,0)*IF(C_S_Digital[[#This Row],[Efecto]]="Probabilidad",1-C_S_Digital[[#This Row],[Peso]],1),IF(C_S_Digital[[#This Row],[Efecto]]="Probabilidad",U119*(1-C_S_Digital[[#This Row],[Peso]]),U119)),"")</f>
        <v/>
      </c>
      <c r="V120" s="144" t="str">
        <f>IFERROR(IF(C_S_Digital[[#This Row],[Código riesgo]]&lt;&gt;C119,_xlfn.XLOOKUP(C_S_Digital[[#This Row],[Código riesgo]],R_S_Digital[Código Riesgo],#REF!,,0)*IF(C_S_Digital[[#This Row],[Efecto]]="Impacto",1-C_S_Digital[[#This Row],[Peso]],1),IF(C_S_Digital[[#This Row],[Efecto]]="Impacto",V119*(1-C_S_Digital[[#This Row],[Peso]]),V119)),"")</f>
        <v/>
      </c>
    </row>
    <row r="121" spans="1:22" s="5" customFormat="1" x14ac:dyDescent="0.25">
      <c r="A121" s="3">
        <v>116</v>
      </c>
      <c r="B121" s="85">
        <f>Mapa_RSD!B99</f>
        <v>0</v>
      </c>
      <c r="C121" s="136" t="e">
        <f>+R_S_Digital[[#This Row],[Código Riesgo]]</f>
        <v>#VALUE!</v>
      </c>
      <c r="D121" s="75"/>
      <c r="E121" s="141" t="str">
        <f>IF(C_S_Digital[[#This Row],[Responsable de ejecutar]]&lt;&gt;"",CONCATENATE(C_S_Digital[[#This Row],[Código riesgo]],"-",IF(C_S_Digital[[#This Row],[Código riesgo]]&lt;&gt;C120,1,RIGHT(E120,1)+1)),"")</f>
        <v/>
      </c>
      <c r="F121" s="147"/>
      <c r="G121" s="142"/>
      <c r="H121" s="142"/>
      <c r="I121" s="141" t="s">
        <v>105</v>
      </c>
      <c r="J121" s="141" t="s">
        <v>65</v>
      </c>
      <c r="K121" s="3"/>
      <c r="L121" s="3"/>
      <c r="M121" s="3"/>
      <c r="N121" s="3"/>
      <c r="O121" s="3"/>
      <c r="P121" s="3"/>
      <c r="Q121" s="145"/>
      <c r="R121" s="148"/>
      <c r="S121" s="137">
        <f>_xlfn.XLOOKUP(CONCATENATE(C_S_Digital[[#This Row],[Momento de ejecución]],C_S_Digital[[#This Row],[Forma de ejecución]]),C_Atributos,C_Peso,"",0)</f>
        <v>0.25</v>
      </c>
      <c r="T121" s="141" t="str">
        <f>IFERROR(_xlfn.XLOOKUP(C_S_Digital[[#This Row],[Momento de ejecución]],C_Momento,C_Efecto,,0),"")</f>
        <v>Impacto</v>
      </c>
      <c r="U121" s="143" t="str">
        <f>IFERROR(IF(C_S_Digital[[#This Row],[Código riesgo]]&lt;&gt;C120,_xlfn.XLOOKUP(C121,R_S_Digital[Código Riesgo],#REF!,,0)*IF(C_S_Digital[[#This Row],[Efecto]]="Probabilidad",1-C_S_Digital[[#This Row],[Peso]],1),IF(C_S_Digital[[#This Row],[Efecto]]="Probabilidad",U120*(1-C_S_Digital[[#This Row],[Peso]]),U120)),"")</f>
        <v/>
      </c>
      <c r="V121" s="144" t="str">
        <f>IFERROR(IF(C_S_Digital[[#This Row],[Código riesgo]]&lt;&gt;C120,_xlfn.XLOOKUP(C_S_Digital[[#This Row],[Código riesgo]],R_S_Digital[Código Riesgo],#REF!,,0)*IF(C_S_Digital[[#This Row],[Efecto]]="Impacto",1-C_S_Digital[[#This Row],[Peso]],1),IF(C_S_Digital[[#This Row],[Efecto]]="Impacto",V120*(1-C_S_Digital[[#This Row],[Peso]]),V120)),"")</f>
        <v/>
      </c>
    </row>
    <row r="122" spans="1:22" s="5" customFormat="1" x14ac:dyDescent="0.25">
      <c r="A122" s="3">
        <v>117</v>
      </c>
      <c r="B122" s="85">
        <f>Mapa_RSD!B100</f>
        <v>0</v>
      </c>
      <c r="C122" s="136" t="e">
        <f>+R_S_Digital[[#This Row],[Código Riesgo]]</f>
        <v>#VALUE!</v>
      </c>
      <c r="D122" s="75"/>
      <c r="E122" s="141" t="str">
        <f>IF(C_S_Digital[[#This Row],[Responsable de ejecutar]]&lt;&gt;"",CONCATENATE(C_S_Digital[[#This Row],[Código riesgo]],"-",IF(C_S_Digital[[#This Row],[Código riesgo]]&lt;&gt;C121,1,RIGHT(E121,1)+1)),"")</f>
        <v/>
      </c>
      <c r="F122" s="147"/>
      <c r="G122" s="147"/>
      <c r="H122" s="147"/>
      <c r="I122" s="141" t="s">
        <v>105</v>
      </c>
      <c r="J122" s="141" t="s">
        <v>65</v>
      </c>
      <c r="K122" s="3"/>
      <c r="L122" s="3"/>
      <c r="M122" s="3"/>
      <c r="N122" s="3"/>
      <c r="O122" s="3"/>
      <c r="P122" s="3"/>
      <c r="Q122" s="145"/>
      <c r="R122" s="148"/>
      <c r="S122" s="137">
        <f>_xlfn.XLOOKUP(CONCATENATE(C_S_Digital[[#This Row],[Momento de ejecución]],C_S_Digital[[#This Row],[Forma de ejecución]]),C_Atributos,C_Peso,"",0)</f>
        <v>0.25</v>
      </c>
      <c r="T122" s="141" t="str">
        <f>IFERROR(_xlfn.XLOOKUP(C_S_Digital[[#This Row],[Momento de ejecución]],C_Momento,C_Efecto,,0),"")</f>
        <v>Impacto</v>
      </c>
      <c r="U122" s="143" t="str">
        <f>IFERROR(IF(C_S_Digital[[#This Row],[Código riesgo]]&lt;&gt;C121,_xlfn.XLOOKUP(C122,R_S_Digital[Código Riesgo],#REF!,,0)*IF(C_S_Digital[[#This Row],[Efecto]]="Probabilidad",1-C_S_Digital[[#This Row],[Peso]],1),IF(C_S_Digital[[#This Row],[Efecto]]="Probabilidad",U121*(1-C_S_Digital[[#This Row],[Peso]]),U121)),"")</f>
        <v/>
      </c>
      <c r="V122" s="144" t="str">
        <f>IFERROR(IF(C_S_Digital[[#This Row],[Código riesgo]]&lt;&gt;C121,_xlfn.XLOOKUP(C_S_Digital[[#This Row],[Código riesgo]],R_S_Digital[Código Riesgo],#REF!,,0)*IF(C_S_Digital[[#This Row],[Efecto]]="Impacto",1-C_S_Digital[[#This Row],[Peso]],1),IF(C_S_Digital[[#This Row],[Efecto]]="Impacto",V121*(1-C_S_Digital[[#This Row],[Peso]]),V121)),"")</f>
        <v/>
      </c>
    </row>
    <row r="123" spans="1:22" s="5" customFormat="1" x14ac:dyDescent="0.25">
      <c r="A123" s="3">
        <v>118</v>
      </c>
      <c r="B123" s="85">
        <f>Mapa_RSD!B101</f>
        <v>0</v>
      </c>
      <c r="C123" s="136" t="e">
        <f>+R_S_Digital[[#This Row],[Código Riesgo]]</f>
        <v>#VALUE!</v>
      </c>
      <c r="D123" s="75"/>
      <c r="E123" s="141" t="str">
        <f>IF(C_S_Digital[[#This Row],[Responsable de ejecutar]]&lt;&gt;"",CONCATENATE(C_S_Digital[[#This Row],[Código riesgo]],"-",IF(C_S_Digital[[#This Row],[Código riesgo]]&lt;&gt;C122,1,RIGHT(E122,1)+1)),"")</f>
        <v/>
      </c>
      <c r="F123" s="147"/>
      <c r="G123" s="147"/>
      <c r="H123" s="147"/>
      <c r="I123" s="141" t="s">
        <v>105</v>
      </c>
      <c r="J123" s="141" t="s">
        <v>65</v>
      </c>
      <c r="K123" s="3"/>
      <c r="L123" s="3"/>
      <c r="M123" s="3"/>
      <c r="N123" s="3"/>
      <c r="O123" s="147"/>
      <c r="P123" s="147"/>
      <c r="Q123" s="145"/>
      <c r="R123" s="148"/>
      <c r="S123" s="137">
        <f>_xlfn.XLOOKUP(CONCATENATE(C_S_Digital[[#This Row],[Momento de ejecución]],C_S_Digital[[#This Row],[Forma de ejecución]]),C_Atributos,C_Peso,"",0)</f>
        <v>0.25</v>
      </c>
      <c r="T123" s="141" t="str">
        <f>IFERROR(_xlfn.XLOOKUP(C_S_Digital[[#This Row],[Momento de ejecución]],C_Momento,C_Efecto,,0),"")</f>
        <v>Impacto</v>
      </c>
      <c r="U123" s="143" t="str">
        <f>IFERROR(IF(C_S_Digital[[#This Row],[Código riesgo]]&lt;&gt;C122,_xlfn.XLOOKUP(C123,R_S_Digital[Código Riesgo],#REF!,,0)*IF(C_S_Digital[[#This Row],[Efecto]]="Probabilidad",1-C_S_Digital[[#This Row],[Peso]],1),IF(C_S_Digital[[#This Row],[Efecto]]="Probabilidad",U122*(1-C_S_Digital[[#This Row],[Peso]]),U122)),"")</f>
        <v/>
      </c>
      <c r="V123" s="144" t="str">
        <f>IFERROR(IF(C_S_Digital[[#This Row],[Código riesgo]]&lt;&gt;C122,_xlfn.XLOOKUP(C_S_Digital[[#This Row],[Código riesgo]],R_S_Digital[Código Riesgo],#REF!,,0)*IF(C_S_Digital[[#This Row],[Efecto]]="Impacto",1-C_S_Digital[[#This Row],[Peso]],1),IF(C_S_Digital[[#This Row],[Efecto]]="Impacto",V122*(1-C_S_Digital[[#This Row],[Peso]]),V122)),"")</f>
        <v/>
      </c>
    </row>
    <row r="124" spans="1:22" s="5" customFormat="1" x14ac:dyDescent="0.25">
      <c r="A124" s="3">
        <v>119</v>
      </c>
      <c r="B124" s="85">
        <f>Mapa_RSD!B102</f>
        <v>0</v>
      </c>
      <c r="C124" s="136" t="e">
        <f>+R_S_Digital[[#This Row],[Código Riesgo]]</f>
        <v>#VALUE!</v>
      </c>
      <c r="D124" s="75"/>
      <c r="E124" s="141" t="str">
        <f>IF(C_S_Digital[[#This Row],[Responsable de ejecutar]]&lt;&gt;"",CONCATENATE(C_S_Digital[[#This Row],[Código riesgo]],"-",IF(C_S_Digital[[#This Row],[Código riesgo]]&lt;&gt;C123,1,RIGHT(E123,1)+1)),"")</f>
        <v/>
      </c>
      <c r="F124" s="142"/>
      <c r="G124" s="142"/>
      <c r="H124" s="142"/>
      <c r="I124" s="141" t="s">
        <v>105</v>
      </c>
      <c r="J124" s="141" t="s">
        <v>65</v>
      </c>
      <c r="K124" s="3"/>
      <c r="L124" s="3"/>
      <c r="M124" s="3"/>
      <c r="N124" s="3"/>
      <c r="O124" s="147"/>
      <c r="P124" s="147"/>
      <c r="Q124" s="145"/>
      <c r="R124" s="148"/>
      <c r="S124" s="137">
        <f>_xlfn.XLOOKUP(CONCATENATE(C_S_Digital[[#This Row],[Momento de ejecución]],C_S_Digital[[#This Row],[Forma de ejecución]]),C_Atributos,C_Peso,"",0)</f>
        <v>0.25</v>
      </c>
      <c r="T124" s="141" t="str">
        <f>IFERROR(_xlfn.XLOOKUP(C_S_Digital[[#This Row],[Momento de ejecución]],C_Momento,C_Efecto,,0),"")</f>
        <v>Impacto</v>
      </c>
      <c r="U124" s="143" t="str">
        <f>IFERROR(IF(C_S_Digital[[#This Row],[Código riesgo]]&lt;&gt;C123,_xlfn.XLOOKUP(C124,R_S_Digital[Código Riesgo],#REF!,,0)*IF(C_S_Digital[[#This Row],[Efecto]]="Probabilidad",1-C_S_Digital[[#This Row],[Peso]],1),IF(C_S_Digital[[#This Row],[Efecto]]="Probabilidad",U123*(1-C_S_Digital[[#This Row],[Peso]]),U123)),"")</f>
        <v/>
      </c>
      <c r="V124" s="144" t="str">
        <f>IFERROR(IF(C_S_Digital[[#This Row],[Código riesgo]]&lt;&gt;C123,_xlfn.XLOOKUP(C_S_Digital[[#This Row],[Código riesgo]],R_S_Digital[Código Riesgo],#REF!,,0)*IF(C_S_Digital[[#This Row],[Efecto]]="Impacto",1-C_S_Digital[[#This Row],[Peso]],1),IF(C_S_Digital[[#This Row],[Efecto]]="Impacto",V123*(1-C_S_Digital[[#This Row],[Peso]]),V123)),"")</f>
        <v/>
      </c>
    </row>
    <row r="125" spans="1:22" s="5" customFormat="1" x14ac:dyDescent="0.25">
      <c r="A125" s="3">
        <v>120</v>
      </c>
      <c r="B125" s="85">
        <f>Mapa_RSD!B103</f>
        <v>0</v>
      </c>
      <c r="C125" s="136" t="e">
        <f>+R_S_Digital[[#This Row],[Código Riesgo]]</f>
        <v>#VALUE!</v>
      </c>
      <c r="D125" s="149"/>
      <c r="E125" s="141" t="str">
        <f>IF(C_S_Digital[[#This Row],[Responsable de ejecutar]]&lt;&gt;"",CONCATENATE(C_S_Digital[[#This Row],[Código riesgo]],"-",IF(C_S_Digital[[#This Row],[Código riesgo]]&lt;&gt;C124,1,RIGHT(E124,1)+1)),"")</f>
        <v/>
      </c>
      <c r="F125" s="147"/>
      <c r="G125" s="147"/>
      <c r="H125" s="147"/>
      <c r="I125" s="141" t="s">
        <v>105</v>
      </c>
      <c r="J125" s="141" t="s">
        <v>65</v>
      </c>
      <c r="K125" s="3"/>
      <c r="L125" s="3"/>
      <c r="M125" s="3"/>
      <c r="N125" s="3"/>
      <c r="O125" s="147"/>
      <c r="P125" s="147"/>
      <c r="Q125" s="145"/>
      <c r="R125" s="148"/>
      <c r="S125" s="137">
        <f>_xlfn.XLOOKUP(CONCATENATE(C_S_Digital[[#This Row],[Momento de ejecución]],C_S_Digital[[#This Row],[Forma de ejecución]]),C_Atributos,C_Peso,"",0)</f>
        <v>0.25</v>
      </c>
      <c r="T125" s="141" t="str">
        <f>IFERROR(_xlfn.XLOOKUP(C_S_Digital[[#This Row],[Momento de ejecución]],C_Momento,C_Efecto,,0),"")</f>
        <v>Impacto</v>
      </c>
      <c r="U125" s="143" t="str">
        <f>IFERROR(IF(C_S_Digital[[#This Row],[Código riesgo]]&lt;&gt;C124,_xlfn.XLOOKUP(C125,R_S_Digital[Código Riesgo],#REF!,,0)*IF(C_S_Digital[[#This Row],[Efecto]]="Probabilidad",1-C_S_Digital[[#This Row],[Peso]],1),IF(C_S_Digital[[#This Row],[Efecto]]="Probabilidad",U124*(1-C_S_Digital[[#This Row],[Peso]]),U124)),"")</f>
        <v/>
      </c>
      <c r="V125" s="144" t="str">
        <f>IFERROR(IF(C_S_Digital[[#This Row],[Código riesgo]]&lt;&gt;C124,_xlfn.XLOOKUP(C_S_Digital[[#This Row],[Código riesgo]],R_S_Digital[Código Riesgo],#REF!,,0)*IF(C_S_Digital[[#This Row],[Efecto]]="Impacto",1-C_S_Digital[[#This Row],[Peso]],1),IF(C_S_Digital[[#This Row],[Efecto]]="Impacto",V124*(1-C_S_Digital[[#This Row],[Peso]]),V124)),"")</f>
        <v/>
      </c>
    </row>
    <row r="126" spans="1:22" x14ac:dyDescent="0.25">
      <c r="A126" s="3">
        <v>121</v>
      </c>
      <c r="B126" s="85">
        <f>Mapa_RSD!B104</f>
        <v>0</v>
      </c>
      <c r="C126" s="136" t="e">
        <f>+R_S_Digital[[#This Row],[Código Riesgo]]</f>
        <v>#VALUE!</v>
      </c>
      <c r="D126" s="2"/>
      <c r="E126" s="141" t="str">
        <f>IF(C_S_Digital[[#This Row],[Responsable de ejecutar]]&lt;&gt;"",CONCATENATE(C_S_Digital[[#This Row],[Código riesgo]],"-",IF(C_S_Digital[[#This Row],[Código riesgo]]&lt;&gt;C125,1,RIGHT(E125,1)+1)),"")</f>
        <v/>
      </c>
      <c r="F126" s="147"/>
      <c r="G126" s="147"/>
      <c r="H126" s="147"/>
      <c r="I126" s="141" t="s">
        <v>105</v>
      </c>
      <c r="J126" s="141" t="s">
        <v>65</v>
      </c>
      <c r="K126" s="3"/>
      <c r="L126" s="3"/>
      <c r="M126" s="3"/>
      <c r="N126" s="3"/>
      <c r="O126" s="2"/>
      <c r="Q126" s="148"/>
      <c r="R126" s="148"/>
      <c r="S126" s="137">
        <f>_xlfn.XLOOKUP(CONCATENATE(C_S_Digital[[#This Row],[Momento de ejecución]],C_S_Digital[[#This Row],[Forma de ejecución]]),C_Atributos,C_Peso,"",0)</f>
        <v>0.25</v>
      </c>
      <c r="T126" s="141" t="str">
        <f>IFERROR(_xlfn.XLOOKUP(C_S_Digital[[#This Row],[Momento de ejecución]],C_Momento,C_Efecto,,0),"")</f>
        <v>Impacto</v>
      </c>
      <c r="U126" s="143" t="str">
        <f>IFERROR(IF(C_S_Digital[[#This Row],[Código riesgo]]&lt;&gt;C125,_xlfn.XLOOKUP(C126,R_S_Digital[Código Riesgo],#REF!,,0)*IF(C_S_Digital[[#This Row],[Efecto]]="Probabilidad",1-C_S_Digital[[#This Row],[Peso]],1),IF(C_S_Digital[[#This Row],[Efecto]]="Probabilidad",U125*(1-C_S_Digital[[#This Row],[Peso]]),U125)),"")</f>
        <v/>
      </c>
      <c r="V126" s="144" t="str">
        <f>IFERROR(IF(C_S_Digital[[#This Row],[Código riesgo]]&lt;&gt;C125,_xlfn.XLOOKUP(C_S_Digital[[#This Row],[Código riesgo]],R_S_Digital[Código Riesgo],#REF!,,0)*IF(C_S_Digital[[#This Row],[Efecto]]="Impacto",1-C_S_Digital[[#This Row],[Peso]],1),IF(C_S_Digital[[#This Row],[Efecto]]="Impacto",V125*(1-C_S_Digital[[#This Row],[Peso]]),V125)),"")</f>
        <v/>
      </c>
    </row>
    <row r="127" spans="1:22" x14ac:dyDescent="0.25">
      <c r="A127" s="3">
        <v>122</v>
      </c>
      <c r="B127" s="85">
        <f>Mapa_RSD!B105</f>
        <v>0</v>
      </c>
      <c r="C127" s="136" t="e">
        <f>+R_S_Digital[[#This Row],[Código Riesgo]]</f>
        <v>#VALUE!</v>
      </c>
      <c r="D127" s="2"/>
      <c r="E127" s="141" t="str">
        <f>IF(C_S_Digital[[#This Row],[Responsable de ejecutar]]&lt;&gt;"",CONCATENATE(C_S_Digital[[#This Row],[Código riesgo]],"-",IF(C_S_Digital[[#This Row],[Código riesgo]]&lt;&gt;C126,1,RIGHT(E126,1)+1)),"")</f>
        <v/>
      </c>
      <c r="F127" s="147"/>
      <c r="G127" s="147"/>
      <c r="H127" s="147"/>
      <c r="I127" s="141" t="s">
        <v>105</v>
      </c>
      <c r="J127" s="141" t="s">
        <v>65</v>
      </c>
      <c r="K127" s="3"/>
      <c r="L127" s="3"/>
      <c r="M127" s="3"/>
      <c r="N127" s="3"/>
      <c r="O127" s="2"/>
      <c r="Q127" s="148"/>
      <c r="R127" s="148"/>
      <c r="S127" s="137">
        <f>_xlfn.XLOOKUP(CONCATENATE(C_S_Digital[[#This Row],[Momento de ejecución]],C_S_Digital[[#This Row],[Forma de ejecución]]),C_Atributos,C_Peso,"",0)</f>
        <v>0.25</v>
      </c>
      <c r="T127" s="141" t="str">
        <f>IFERROR(_xlfn.XLOOKUP(C_S_Digital[[#This Row],[Momento de ejecución]],C_Momento,C_Efecto,,0),"")</f>
        <v>Impacto</v>
      </c>
      <c r="U127" s="143" t="str">
        <f>IFERROR(IF(C_S_Digital[[#This Row],[Código riesgo]]&lt;&gt;C126,_xlfn.XLOOKUP(C127,R_S_Digital[Código Riesgo],#REF!,,0)*IF(C_S_Digital[[#This Row],[Efecto]]="Probabilidad",1-C_S_Digital[[#This Row],[Peso]],1),IF(C_S_Digital[[#This Row],[Efecto]]="Probabilidad",U126*(1-C_S_Digital[[#This Row],[Peso]]),U126)),"")</f>
        <v/>
      </c>
      <c r="V127" s="144" t="str">
        <f>IFERROR(IF(C_S_Digital[[#This Row],[Código riesgo]]&lt;&gt;C126,_xlfn.XLOOKUP(C_S_Digital[[#This Row],[Código riesgo]],R_S_Digital[Código Riesgo],#REF!,,0)*IF(C_S_Digital[[#This Row],[Efecto]]="Impacto",1-C_S_Digital[[#This Row],[Peso]],1),IF(C_S_Digital[[#This Row],[Efecto]]="Impacto",V126*(1-C_S_Digital[[#This Row],[Peso]]),V126)),"")</f>
        <v/>
      </c>
    </row>
    <row r="128" spans="1:22" x14ac:dyDescent="0.25">
      <c r="A128" s="3">
        <v>123</v>
      </c>
      <c r="B128" s="85">
        <f>Mapa_RSD!B106</f>
        <v>0</v>
      </c>
      <c r="C128" s="136" t="e">
        <f>+R_S_Digital[[#This Row],[Código Riesgo]]</f>
        <v>#VALUE!</v>
      </c>
      <c r="D128" s="2"/>
      <c r="E128" s="141" t="str">
        <f>IF(C_S_Digital[[#This Row],[Responsable de ejecutar]]&lt;&gt;"",CONCATENATE(C_S_Digital[[#This Row],[Código riesgo]],"-",IF(C_S_Digital[[#This Row],[Código riesgo]]&lt;&gt;C127,1,RIGHT(E127,1)+1)),"")</f>
        <v/>
      </c>
      <c r="F128" s="147"/>
      <c r="G128" s="147"/>
      <c r="H128" s="147"/>
      <c r="I128" s="141" t="s">
        <v>105</v>
      </c>
      <c r="J128" s="141" t="s">
        <v>65</v>
      </c>
      <c r="K128" s="3"/>
      <c r="L128" s="3"/>
      <c r="M128" s="3"/>
      <c r="N128" s="3"/>
      <c r="O128" s="2"/>
      <c r="Q128" s="148"/>
      <c r="R128" s="148"/>
      <c r="S128" s="137">
        <f>_xlfn.XLOOKUP(CONCATENATE(C_S_Digital[[#This Row],[Momento de ejecución]],C_S_Digital[[#This Row],[Forma de ejecución]]),C_Atributos,C_Peso,"",0)</f>
        <v>0.25</v>
      </c>
      <c r="T128" s="141" t="str">
        <f>IFERROR(_xlfn.XLOOKUP(C_S_Digital[[#This Row],[Momento de ejecución]],C_Momento,C_Efecto,,0),"")</f>
        <v>Impacto</v>
      </c>
      <c r="U128" s="143" t="str">
        <f>IFERROR(IF(C_S_Digital[[#This Row],[Código riesgo]]&lt;&gt;C127,_xlfn.XLOOKUP(C128,R_S_Digital[Código Riesgo],#REF!,,0)*IF(C_S_Digital[[#This Row],[Efecto]]="Probabilidad",1-C_S_Digital[[#This Row],[Peso]],1),IF(C_S_Digital[[#This Row],[Efecto]]="Probabilidad",U127*(1-C_S_Digital[[#This Row],[Peso]]),U127)),"")</f>
        <v/>
      </c>
      <c r="V128" s="144" t="str">
        <f>IFERROR(IF(C_S_Digital[[#This Row],[Código riesgo]]&lt;&gt;C127,_xlfn.XLOOKUP(C_S_Digital[[#This Row],[Código riesgo]],R_S_Digital[Código Riesgo],#REF!,,0)*IF(C_S_Digital[[#This Row],[Efecto]]="Impacto",1-C_S_Digital[[#This Row],[Peso]],1),IF(C_S_Digital[[#This Row],[Efecto]]="Impacto",V127*(1-C_S_Digital[[#This Row],[Peso]]),V127)),"")</f>
        <v/>
      </c>
    </row>
    <row r="129" spans="1:22" x14ac:dyDescent="0.25">
      <c r="A129" s="3">
        <v>124</v>
      </c>
      <c r="B129" s="85">
        <f>Mapa_RSD!B107</f>
        <v>0</v>
      </c>
      <c r="C129" s="136" t="e">
        <f>+R_S_Digital[[#This Row],[Código Riesgo]]</f>
        <v>#VALUE!</v>
      </c>
      <c r="D129" s="2"/>
      <c r="E129" s="141" t="str">
        <f>IF(C_S_Digital[[#This Row],[Responsable de ejecutar]]&lt;&gt;"",CONCATENATE(C_S_Digital[[#This Row],[Código riesgo]],"-",IF(C_S_Digital[[#This Row],[Código riesgo]]&lt;&gt;C128,1,RIGHT(E128,1)+1)),"")</f>
        <v/>
      </c>
      <c r="F129" s="147"/>
      <c r="G129" s="147"/>
      <c r="H129" s="147"/>
      <c r="I129" s="141" t="s">
        <v>105</v>
      </c>
      <c r="J129" s="141" t="s">
        <v>65</v>
      </c>
      <c r="K129" s="3"/>
      <c r="L129" s="3"/>
      <c r="M129" s="3"/>
      <c r="N129" s="3"/>
      <c r="O129" s="2"/>
      <c r="Q129" s="148"/>
      <c r="R129" s="148"/>
      <c r="S129" s="137">
        <f>_xlfn.XLOOKUP(CONCATENATE(C_S_Digital[[#This Row],[Momento de ejecución]],C_S_Digital[[#This Row],[Forma de ejecución]]),C_Atributos,C_Peso,"",0)</f>
        <v>0.25</v>
      </c>
      <c r="T129" s="141" t="str">
        <f>IFERROR(_xlfn.XLOOKUP(C_S_Digital[[#This Row],[Momento de ejecución]],C_Momento,C_Efecto,,0),"")</f>
        <v>Impacto</v>
      </c>
      <c r="U129" s="143" t="str">
        <f>IFERROR(IF(C_S_Digital[[#This Row],[Código riesgo]]&lt;&gt;C128,_xlfn.XLOOKUP(C129,R_S_Digital[Código Riesgo],#REF!,,0)*IF(C_S_Digital[[#This Row],[Efecto]]="Probabilidad",1-C_S_Digital[[#This Row],[Peso]],1),IF(C_S_Digital[[#This Row],[Efecto]]="Probabilidad",U128*(1-C_S_Digital[[#This Row],[Peso]]),U128)),"")</f>
        <v/>
      </c>
      <c r="V129" s="144" t="str">
        <f>IFERROR(IF(C_S_Digital[[#This Row],[Código riesgo]]&lt;&gt;C128,_xlfn.XLOOKUP(C_S_Digital[[#This Row],[Código riesgo]],R_S_Digital[Código Riesgo],#REF!,,0)*IF(C_S_Digital[[#This Row],[Efecto]]="Impacto",1-C_S_Digital[[#This Row],[Peso]],1),IF(C_S_Digital[[#This Row],[Efecto]]="Impacto",V128*(1-C_S_Digital[[#This Row],[Peso]]),V128)),"")</f>
        <v/>
      </c>
    </row>
    <row r="130" spans="1:22" x14ac:dyDescent="0.25">
      <c r="A130" s="3">
        <v>125</v>
      </c>
      <c r="B130" s="85">
        <f>Mapa_RSD!B108</f>
        <v>0</v>
      </c>
      <c r="C130" s="136" t="e">
        <f>+R_S_Digital[[#This Row],[Código Riesgo]]</f>
        <v>#VALUE!</v>
      </c>
      <c r="D130" s="2"/>
      <c r="E130" s="141" t="str">
        <f>IF(C_S_Digital[[#This Row],[Responsable de ejecutar]]&lt;&gt;"",CONCATENATE(C_S_Digital[[#This Row],[Código riesgo]],"-",IF(C_S_Digital[[#This Row],[Código riesgo]]&lt;&gt;C129,1,RIGHT(E129,1)+1)),"")</f>
        <v/>
      </c>
      <c r="F130" s="147"/>
      <c r="G130" s="147"/>
      <c r="H130" s="147"/>
      <c r="I130" s="141" t="s">
        <v>105</v>
      </c>
      <c r="J130" s="141" t="s">
        <v>65</v>
      </c>
      <c r="K130" s="3"/>
      <c r="L130" s="3"/>
      <c r="M130" s="3"/>
      <c r="N130" s="3"/>
      <c r="O130" s="2"/>
      <c r="Q130" s="148"/>
      <c r="R130" s="148"/>
      <c r="S130" s="137">
        <f>_xlfn.XLOOKUP(CONCATENATE(C_S_Digital[[#This Row],[Momento de ejecución]],C_S_Digital[[#This Row],[Forma de ejecución]]),C_Atributos,C_Peso,"",0)</f>
        <v>0.25</v>
      </c>
      <c r="T130" s="141" t="str">
        <f>IFERROR(_xlfn.XLOOKUP(C_S_Digital[[#This Row],[Momento de ejecución]],C_Momento,C_Efecto,,0),"")</f>
        <v>Impacto</v>
      </c>
      <c r="U130" s="143" t="str">
        <f>IFERROR(IF(C_S_Digital[[#This Row],[Código riesgo]]&lt;&gt;C129,_xlfn.XLOOKUP(C130,R_S_Digital[Código Riesgo],#REF!,,0)*IF(C_S_Digital[[#This Row],[Efecto]]="Probabilidad",1-C_S_Digital[[#This Row],[Peso]],1),IF(C_S_Digital[[#This Row],[Efecto]]="Probabilidad",U129*(1-C_S_Digital[[#This Row],[Peso]]),U129)),"")</f>
        <v/>
      </c>
      <c r="V130" s="144" t="str">
        <f>IFERROR(IF(C_S_Digital[[#This Row],[Código riesgo]]&lt;&gt;C129,_xlfn.XLOOKUP(C_S_Digital[[#This Row],[Código riesgo]],R_S_Digital[Código Riesgo],#REF!,,0)*IF(C_S_Digital[[#This Row],[Efecto]]="Impacto",1-C_S_Digital[[#This Row],[Peso]],1),IF(C_S_Digital[[#This Row],[Efecto]]="Impacto",V129*(1-C_S_Digital[[#This Row],[Peso]]),V129)),"")</f>
        <v/>
      </c>
    </row>
    <row r="131" spans="1:22" x14ac:dyDescent="0.25">
      <c r="A131" s="3">
        <v>126</v>
      </c>
      <c r="B131" s="85">
        <f>Mapa_RSD!B109</f>
        <v>0</v>
      </c>
      <c r="C131" s="136" t="e">
        <f>+R_S_Digital[[#This Row],[Código Riesgo]]</f>
        <v>#VALUE!</v>
      </c>
      <c r="D131" s="2"/>
      <c r="E131" s="141" t="str">
        <f>IF(C_S_Digital[[#This Row],[Responsable de ejecutar]]&lt;&gt;"",CONCATENATE(C_S_Digital[[#This Row],[Código riesgo]],"-",IF(C_S_Digital[[#This Row],[Código riesgo]]&lt;&gt;C130,1,RIGHT(E130,1)+1)),"")</f>
        <v/>
      </c>
      <c r="F131" s="147"/>
      <c r="G131" s="147"/>
      <c r="H131" s="147"/>
      <c r="I131" s="141" t="s">
        <v>105</v>
      </c>
      <c r="J131" s="141" t="s">
        <v>65</v>
      </c>
      <c r="K131" s="3"/>
      <c r="L131" s="3"/>
      <c r="M131" s="3"/>
      <c r="N131" s="3"/>
      <c r="O131" s="2"/>
      <c r="Q131" s="148"/>
      <c r="R131" s="148"/>
      <c r="S131" s="137">
        <f>_xlfn.XLOOKUP(CONCATENATE(C_S_Digital[[#This Row],[Momento de ejecución]],C_S_Digital[[#This Row],[Forma de ejecución]]),C_Atributos,C_Peso,"",0)</f>
        <v>0.25</v>
      </c>
      <c r="T131" s="141" t="str">
        <f>IFERROR(_xlfn.XLOOKUP(C_S_Digital[[#This Row],[Momento de ejecución]],C_Momento,C_Efecto,,0),"")</f>
        <v>Impacto</v>
      </c>
      <c r="U131" s="143" t="str">
        <f>IFERROR(IF(C_S_Digital[[#This Row],[Código riesgo]]&lt;&gt;C130,_xlfn.XLOOKUP(C131,R_S_Digital[Código Riesgo],#REF!,,0)*IF(C_S_Digital[[#This Row],[Efecto]]="Probabilidad",1-C_S_Digital[[#This Row],[Peso]],1),IF(C_S_Digital[[#This Row],[Efecto]]="Probabilidad",U130*(1-C_S_Digital[[#This Row],[Peso]]),U130)),"")</f>
        <v/>
      </c>
      <c r="V131" s="144" t="str">
        <f>IFERROR(IF(C_S_Digital[[#This Row],[Código riesgo]]&lt;&gt;C130,_xlfn.XLOOKUP(C_S_Digital[[#This Row],[Código riesgo]],R_S_Digital[Código Riesgo],#REF!,,0)*IF(C_S_Digital[[#This Row],[Efecto]]="Impacto",1-C_S_Digital[[#This Row],[Peso]],1),IF(C_S_Digital[[#This Row],[Efecto]]="Impacto",V130*(1-C_S_Digital[[#This Row],[Peso]]),V130)),"")</f>
        <v/>
      </c>
    </row>
    <row r="132" spans="1:22" x14ac:dyDescent="0.25">
      <c r="A132" s="3">
        <v>127</v>
      </c>
      <c r="B132" s="85">
        <f>Mapa_RSD!B110</f>
        <v>0</v>
      </c>
      <c r="C132" s="136" t="e">
        <f>+R_S_Digital[[#This Row],[Código Riesgo]]</f>
        <v>#VALUE!</v>
      </c>
      <c r="D132" s="2"/>
      <c r="E132" s="141" t="str">
        <f>IF(C_S_Digital[[#This Row],[Responsable de ejecutar]]&lt;&gt;"",CONCATENATE(C_S_Digital[[#This Row],[Código riesgo]],"-",IF(C_S_Digital[[#This Row],[Código riesgo]]&lt;&gt;C131,1,RIGHT(E131,1)+1)),"")</f>
        <v/>
      </c>
      <c r="F132" s="147"/>
      <c r="G132" s="147"/>
      <c r="H132" s="147"/>
      <c r="I132" s="141" t="s">
        <v>105</v>
      </c>
      <c r="J132" s="141" t="s">
        <v>65</v>
      </c>
      <c r="K132" s="3"/>
      <c r="L132" s="3"/>
      <c r="M132" s="3"/>
      <c r="N132" s="3"/>
      <c r="O132" s="2"/>
      <c r="Q132" s="148"/>
      <c r="R132" s="148"/>
      <c r="S132" s="137">
        <f>_xlfn.XLOOKUP(CONCATENATE(C_S_Digital[[#This Row],[Momento de ejecución]],C_S_Digital[[#This Row],[Forma de ejecución]]),C_Atributos,C_Peso,"",0)</f>
        <v>0.25</v>
      </c>
      <c r="T132" s="141" t="str">
        <f>IFERROR(_xlfn.XLOOKUP(C_S_Digital[[#This Row],[Momento de ejecución]],C_Momento,C_Efecto,,0),"")</f>
        <v>Impacto</v>
      </c>
      <c r="U132" s="143" t="str">
        <f>IFERROR(IF(C_S_Digital[[#This Row],[Código riesgo]]&lt;&gt;C131,_xlfn.XLOOKUP(C132,R_S_Digital[Código Riesgo],#REF!,,0)*IF(C_S_Digital[[#This Row],[Efecto]]="Probabilidad",1-C_S_Digital[[#This Row],[Peso]],1),IF(C_S_Digital[[#This Row],[Efecto]]="Probabilidad",U131*(1-C_S_Digital[[#This Row],[Peso]]),U131)),"")</f>
        <v/>
      </c>
      <c r="V132" s="144" t="str">
        <f>IFERROR(IF(C_S_Digital[[#This Row],[Código riesgo]]&lt;&gt;C131,_xlfn.XLOOKUP(C_S_Digital[[#This Row],[Código riesgo]],R_S_Digital[Código Riesgo],#REF!,,0)*IF(C_S_Digital[[#This Row],[Efecto]]="Impacto",1-C_S_Digital[[#This Row],[Peso]],1),IF(C_S_Digital[[#This Row],[Efecto]]="Impacto",V131*(1-C_S_Digital[[#This Row],[Peso]]),V131)),"")</f>
        <v/>
      </c>
    </row>
    <row r="133" spans="1:22" x14ac:dyDescent="0.25">
      <c r="A133" s="3">
        <v>128</v>
      </c>
      <c r="B133" s="85">
        <f>Mapa_RSD!B111</f>
        <v>0</v>
      </c>
      <c r="C133" s="136" t="e">
        <f>+R_S_Digital[[#This Row],[Código Riesgo]]</f>
        <v>#VALUE!</v>
      </c>
      <c r="D133" s="2"/>
      <c r="E133" s="141" t="str">
        <f>IF(C_S_Digital[[#This Row],[Responsable de ejecutar]]&lt;&gt;"",CONCATENATE(C_S_Digital[[#This Row],[Código riesgo]],"-",IF(C_S_Digital[[#This Row],[Código riesgo]]&lt;&gt;C132,1,RIGHT(E132,1)+1)),"")</f>
        <v/>
      </c>
      <c r="F133" s="147"/>
      <c r="G133" s="147"/>
      <c r="H133" s="147"/>
      <c r="I133" s="141" t="s">
        <v>105</v>
      </c>
      <c r="J133" s="141" t="s">
        <v>65</v>
      </c>
      <c r="K133" s="3"/>
      <c r="L133" s="3"/>
      <c r="M133" s="3"/>
      <c r="N133" s="3"/>
      <c r="O133" s="2"/>
      <c r="Q133" s="148"/>
      <c r="R133" s="148"/>
      <c r="S133" s="137">
        <f>_xlfn.XLOOKUP(CONCATENATE(C_S_Digital[[#This Row],[Momento de ejecución]],C_S_Digital[[#This Row],[Forma de ejecución]]),C_Atributos,C_Peso,"",0)</f>
        <v>0.25</v>
      </c>
      <c r="T133" s="141" t="str">
        <f>IFERROR(_xlfn.XLOOKUP(C_S_Digital[[#This Row],[Momento de ejecución]],C_Momento,C_Efecto,,0),"")</f>
        <v>Impacto</v>
      </c>
      <c r="U133" s="143" t="str">
        <f>IFERROR(IF(C_S_Digital[[#This Row],[Código riesgo]]&lt;&gt;C132,_xlfn.XLOOKUP(C133,R_S_Digital[Código Riesgo],#REF!,,0)*IF(C_S_Digital[[#This Row],[Efecto]]="Probabilidad",1-C_S_Digital[[#This Row],[Peso]],1),IF(C_S_Digital[[#This Row],[Efecto]]="Probabilidad",U132*(1-C_S_Digital[[#This Row],[Peso]]),U132)),"")</f>
        <v/>
      </c>
      <c r="V133" s="144" t="str">
        <f>IFERROR(IF(C_S_Digital[[#This Row],[Código riesgo]]&lt;&gt;C132,_xlfn.XLOOKUP(C_S_Digital[[#This Row],[Código riesgo]],R_S_Digital[Código Riesgo],#REF!,,0)*IF(C_S_Digital[[#This Row],[Efecto]]="Impacto",1-C_S_Digital[[#This Row],[Peso]],1),IF(C_S_Digital[[#This Row],[Efecto]]="Impacto",V132*(1-C_S_Digital[[#This Row],[Peso]]),V132)),"")</f>
        <v/>
      </c>
    </row>
    <row r="134" spans="1:22" x14ac:dyDescent="0.25">
      <c r="A134" s="3">
        <v>129</v>
      </c>
      <c r="B134" s="85">
        <f>Mapa_RSD!B112</f>
        <v>0</v>
      </c>
      <c r="C134" s="136" t="e">
        <f>+R_S_Digital[[#This Row],[Código Riesgo]]</f>
        <v>#VALUE!</v>
      </c>
      <c r="D134" s="2"/>
      <c r="E134" s="141" t="str">
        <f>IF(C_S_Digital[[#This Row],[Responsable de ejecutar]]&lt;&gt;"",CONCATENATE(C_S_Digital[[#This Row],[Código riesgo]],"-",IF(C_S_Digital[[#This Row],[Código riesgo]]&lt;&gt;C133,1,RIGHT(E133,1)+1)),"")</f>
        <v/>
      </c>
      <c r="F134" s="147"/>
      <c r="G134" s="147"/>
      <c r="H134" s="147"/>
      <c r="I134" s="141" t="s">
        <v>105</v>
      </c>
      <c r="J134" s="141" t="s">
        <v>65</v>
      </c>
      <c r="K134" s="3"/>
      <c r="L134" s="3"/>
      <c r="M134" s="3"/>
      <c r="N134" s="3"/>
      <c r="O134" s="2"/>
      <c r="Q134" s="148"/>
      <c r="R134" s="148"/>
      <c r="S134" s="137">
        <f>_xlfn.XLOOKUP(CONCATENATE(C_S_Digital[[#This Row],[Momento de ejecución]],C_S_Digital[[#This Row],[Forma de ejecución]]),C_Atributos,C_Peso,"",0)</f>
        <v>0.25</v>
      </c>
      <c r="T134" s="141" t="str">
        <f>IFERROR(_xlfn.XLOOKUP(C_S_Digital[[#This Row],[Momento de ejecución]],C_Momento,C_Efecto,,0),"")</f>
        <v>Impacto</v>
      </c>
      <c r="U134" s="143" t="str">
        <f>IFERROR(IF(C_S_Digital[[#This Row],[Código riesgo]]&lt;&gt;C133,_xlfn.XLOOKUP(C134,R_S_Digital[Código Riesgo],#REF!,,0)*IF(C_S_Digital[[#This Row],[Efecto]]="Probabilidad",1-C_S_Digital[[#This Row],[Peso]],1),IF(C_S_Digital[[#This Row],[Efecto]]="Probabilidad",U133*(1-C_S_Digital[[#This Row],[Peso]]),U133)),"")</f>
        <v/>
      </c>
      <c r="V134" s="144" t="str">
        <f>IFERROR(IF(C_S_Digital[[#This Row],[Código riesgo]]&lt;&gt;C133,_xlfn.XLOOKUP(C_S_Digital[[#This Row],[Código riesgo]],R_S_Digital[Código Riesgo],#REF!,,0)*IF(C_S_Digital[[#This Row],[Efecto]]="Impacto",1-C_S_Digital[[#This Row],[Peso]],1),IF(C_S_Digital[[#This Row],[Efecto]]="Impacto",V133*(1-C_S_Digital[[#This Row],[Peso]]),V133)),"")</f>
        <v/>
      </c>
    </row>
    <row r="135" spans="1:22" x14ac:dyDescent="0.25">
      <c r="A135" s="3">
        <v>130</v>
      </c>
      <c r="B135" s="85">
        <f>Mapa_RSD!B113</f>
        <v>0</v>
      </c>
      <c r="C135" s="136" t="e">
        <f>+R_S_Digital[[#This Row],[Código Riesgo]]</f>
        <v>#VALUE!</v>
      </c>
      <c r="D135" s="2"/>
      <c r="E135" s="141" t="str">
        <f>IF(C_S_Digital[[#This Row],[Responsable de ejecutar]]&lt;&gt;"",CONCATENATE(C_S_Digital[[#This Row],[Código riesgo]],"-",IF(C_S_Digital[[#This Row],[Código riesgo]]&lt;&gt;C134,1,RIGHT(E134,1)+1)),"")</f>
        <v/>
      </c>
      <c r="F135" s="147"/>
      <c r="G135" s="147"/>
      <c r="H135" s="147"/>
      <c r="I135" s="141" t="s">
        <v>105</v>
      </c>
      <c r="J135" s="141" t="s">
        <v>65</v>
      </c>
      <c r="K135" s="3"/>
      <c r="L135" s="3"/>
      <c r="M135" s="3"/>
      <c r="N135" s="3"/>
      <c r="O135" s="2"/>
      <c r="Q135" s="148"/>
      <c r="R135" s="148"/>
      <c r="S135" s="137">
        <f>_xlfn.XLOOKUP(CONCATENATE(C_S_Digital[[#This Row],[Momento de ejecución]],C_S_Digital[[#This Row],[Forma de ejecución]]),C_Atributos,C_Peso,"",0)</f>
        <v>0.25</v>
      </c>
      <c r="T135" s="141" t="str">
        <f>IFERROR(_xlfn.XLOOKUP(C_S_Digital[[#This Row],[Momento de ejecución]],C_Momento,C_Efecto,,0),"")</f>
        <v>Impacto</v>
      </c>
      <c r="U135" s="143" t="str">
        <f>IFERROR(IF(C_S_Digital[[#This Row],[Código riesgo]]&lt;&gt;C134,_xlfn.XLOOKUP(C135,R_S_Digital[Código Riesgo],#REF!,,0)*IF(C_S_Digital[[#This Row],[Efecto]]="Probabilidad",1-C_S_Digital[[#This Row],[Peso]],1),IF(C_S_Digital[[#This Row],[Efecto]]="Probabilidad",U134*(1-C_S_Digital[[#This Row],[Peso]]),U134)),"")</f>
        <v/>
      </c>
      <c r="V135" s="144" t="str">
        <f>IFERROR(IF(C_S_Digital[[#This Row],[Código riesgo]]&lt;&gt;C134,_xlfn.XLOOKUP(C_S_Digital[[#This Row],[Código riesgo]],R_S_Digital[Código Riesgo],#REF!,,0)*IF(C_S_Digital[[#This Row],[Efecto]]="Impacto",1-C_S_Digital[[#This Row],[Peso]],1),IF(C_S_Digital[[#This Row],[Efecto]]="Impacto",V134*(1-C_S_Digital[[#This Row],[Peso]]),V134)),"")</f>
        <v/>
      </c>
    </row>
    <row r="136" spans="1:22" x14ac:dyDescent="0.25">
      <c r="A136" s="3">
        <v>131</v>
      </c>
      <c r="B136" s="85">
        <f>Mapa_RSD!B114</f>
        <v>0</v>
      </c>
      <c r="C136" s="136" t="e">
        <f>+R_S_Digital[[#This Row],[Código Riesgo]]</f>
        <v>#VALUE!</v>
      </c>
      <c r="D136" s="2"/>
      <c r="E136" s="141" t="str">
        <f>IF(C_S_Digital[[#This Row],[Responsable de ejecutar]]&lt;&gt;"",CONCATENATE(C_S_Digital[[#This Row],[Código riesgo]],"-",IF(C_S_Digital[[#This Row],[Código riesgo]]&lt;&gt;C135,1,RIGHT(E135,1)+1)),"")</f>
        <v/>
      </c>
      <c r="F136" s="147"/>
      <c r="G136" s="147"/>
      <c r="H136" s="147"/>
      <c r="I136" s="141" t="s">
        <v>105</v>
      </c>
      <c r="J136" s="141" t="s">
        <v>65</v>
      </c>
      <c r="K136" s="3"/>
      <c r="L136" s="3"/>
      <c r="M136" s="3"/>
      <c r="N136" s="3"/>
      <c r="O136" s="2"/>
      <c r="Q136" s="148"/>
      <c r="R136" s="148"/>
      <c r="S136" s="137">
        <f>_xlfn.XLOOKUP(CONCATENATE(C_S_Digital[[#This Row],[Momento de ejecución]],C_S_Digital[[#This Row],[Forma de ejecución]]),C_Atributos,C_Peso,"",0)</f>
        <v>0.25</v>
      </c>
      <c r="T136" s="141" t="str">
        <f>IFERROR(_xlfn.XLOOKUP(C_S_Digital[[#This Row],[Momento de ejecución]],C_Momento,C_Efecto,,0),"")</f>
        <v>Impacto</v>
      </c>
      <c r="U136" s="143" t="str">
        <f>IFERROR(IF(C_S_Digital[[#This Row],[Código riesgo]]&lt;&gt;C135,_xlfn.XLOOKUP(C136,R_S_Digital[Código Riesgo],#REF!,,0)*IF(C_S_Digital[[#This Row],[Efecto]]="Probabilidad",1-C_S_Digital[[#This Row],[Peso]],1),IF(C_S_Digital[[#This Row],[Efecto]]="Probabilidad",U135*(1-C_S_Digital[[#This Row],[Peso]]),U135)),"")</f>
        <v/>
      </c>
      <c r="V136" s="144" t="str">
        <f>IFERROR(IF(C_S_Digital[[#This Row],[Código riesgo]]&lt;&gt;C135,_xlfn.XLOOKUP(C_S_Digital[[#This Row],[Código riesgo]],R_S_Digital[Código Riesgo],#REF!,,0)*IF(C_S_Digital[[#This Row],[Efecto]]="Impacto",1-C_S_Digital[[#This Row],[Peso]],1),IF(C_S_Digital[[#This Row],[Efecto]]="Impacto",V135*(1-C_S_Digital[[#This Row],[Peso]]),V135)),"")</f>
        <v/>
      </c>
    </row>
    <row r="137" spans="1:22" x14ac:dyDescent="0.25">
      <c r="A137" s="3">
        <v>132</v>
      </c>
      <c r="B137" s="85">
        <f>Mapa_RSD!B115</f>
        <v>0</v>
      </c>
      <c r="C137" s="136" t="e">
        <f>+R_S_Digital[[#This Row],[Código Riesgo]]</f>
        <v>#VALUE!</v>
      </c>
      <c r="D137" s="2"/>
      <c r="E137" s="141" t="str">
        <f>IF(C_S_Digital[[#This Row],[Responsable de ejecutar]]&lt;&gt;"",CONCATENATE(C_S_Digital[[#This Row],[Código riesgo]],"-",IF(C_S_Digital[[#This Row],[Código riesgo]]&lt;&gt;C136,1,RIGHT(E136,1)+1)),"")</f>
        <v/>
      </c>
      <c r="F137" s="147"/>
      <c r="G137" s="147"/>
      <c r="H137" s="147"/>
      <c r="I137" s="141" t="s">
        <v>105</v>
      </c>
      <c r="J137" s="141" t="s">
        <v>65</v>
      </c>
      <c r="K137" s="3"/>
      <c r="L137" s="3"/>
      <c r="M137" s="3"/>
      <c r="N137" s="3"/>
      <c r="O137" s="2"/>
      <c r="Q137" s="148"/>
      <c r="R137" s="148"/>
      <c r="S137" s="137">
        <f>_xlfn.XLOOKUP(CONCATENATE(C_S_Digital[[#This Row],[Momento de ejecución]],C_S_Digital[[#This Row],[Forma de ejecución]]),C_Atributos,C_Peso,"",0)</f>
        <v>0.25</v>
      </c>
      <c r="T137" s="141" t="str">
        <f>IFERROR(_xlfn.XLOOKUP(C_S_Digital[[#This Row],[Momento de ejecución]],C_Momento,C_Efecto,,0),"")</f>
        <v>Impacto</v>
      </c>
      <c r="U137" s="143" t="str">
        <f>IFERROR(IF(C_S_Digital[[#This Row],[Código riesgo]]&lt;&gt;C136,_xlfn.XLOOKUP(C137,R_S_Digital[Código Riesgo],#REF!,,0)*IF(C_S_Digital[[#This Row],[Efecto]]="Probabilidad",1-C_S_Digital[[#This Row],[Peso]],1),IF(C_S_Digital[[#This Row],[Efecto]]="Probabilidad",U136*(1-C_S_Digital[[#This Row],[Peso]]),U136)),"")</f>
        <v/>
      </c>
      <c r="V137" s="144" t="str">
        <f>IFERROR(IF(C_S_Digital[[#This Row],[Código riesgo]]&lt;&gt;C136,_xlfn.XLOOKUP(C_S_Digital[[#This Row],[Código riesgo]],R_S_Digital[Código Riesgo],#REF!,,0)*IF(C_S_Digital[[#This Row],[Efecto]]="Impacto",1-C_S_Digital[[#This Row],[Peso]],1),IF(C_S_Digital[[#This Row],[Efecto]]="Impacto",V136*(1-C_S_Digital[[#This Row],[Peso]]),V136)),"")</f>
        <v/>
      </c>
    </row>
    <row r="138" spans="1:22" x14ac:dyDescent="0.25">
      <c r="A138" s="3">
        <v>133</v>
      </c>
      <c r="B138" s="85">
        <f>Mapa_RSD!B116</f>
        <v>0</v>
      </c>
      <c r="C138" s="136" t="e">
        <f>+R_S_Digital[[#This Row],[Código Riesgo]]</f>
        <v>#VALUE!</v>
      </c>
      <c r="D138" s="2"/>
      <c r="E138" s="141" t="str">
        <f>IF(C_S_Digital[[#This Row],[Responsable de ejecutar]]&lt;&gt;"",CONCATENATE(C_S_Digital[[#This Row],[Código riesgo]],"-",IF(C_S_Digital[[#This Row],[Código riesgo]]&lt;&gt;C137,1,RIGHT(E137,1)+1)),"")</f>
        <v/>
      </c>
      <c r="F138" s="147"/>
      <c r="G138" s="147"/>
      <c r="H138" s="147"/>
      <c r="I138" s="141" t="s">
        <v>105</v>
      </c>
      <c r="J138" s="141" t="s">
        <v>65</v>
      </c>
      <c r="K138" s="3"/>
      <c r="L138" s="3"/>
      <c r="M138" s="3"/>
      <c r="N138" s="3"/>
      <c r="O138" s="2"/>
      <c r="Q138" s="148"/>
      <c r="R138" s="148"/>
      <c r="S138" s="137">
        <f>_xlfn.XLOOKUP(CONCATENATE(C_S_Digital[[#This Row],[Momento de ejecución]],C_S_Digital[[#This Row],[Forma de ejecución]]),C_Atributos,C_Peso,"",0)</f>
        <v>0.25</v>
      </c>
      <c r="T138" s="141" t="str">
        <f>IFERROR(_xlfn.XLOOKUP(C_S_Digital[[#This Row],[Momento de ejecución]],C_Momento,C_Efecto,,0),"")</f>
        <v>Impacto</v>
      </c>
      <c r="U138" s="143" t="str">
        <f>IFERROR(IF(C_S_Digital[[#This Row],[Código riesgo]]&lt;&gt;C137,_xlfn.XLOOKUP(C138,R_S_Digital[Código Riesgo],#REF!,,0)*IF(C_S_Digital[[#This Row],[Efecto]]="Probabilidad",1-C_S_Digital[[#This Row],[Peso]],1),IF(C_S_Digital[[#This Row],[Efecto]]="Probabilidad",U137*(1-C_S_Digital[[#This Row],[Peso]]),U137)),"")</f>
        <v/>
      </c>
      <c r="V138" s="144" t="str">
        <f>IFERROR(IF(C_S_Digital[[#This Row],[Código riesgo]]&lt;&gt;C137,_xlfn.XLOOKUP(C_S_Digital[[#This Row],[Código riesgo]],R_S_Digital[Código Riesgo],#REF!,,0)*IF(C_S_Digital[[#This Row],[Efecto]]="Impacto",1-C_S_Digital[[#This Row],[Peso]],1),IF(C_S_Digital[[#This Row],[Efecto]]="Impacto",V137*(1-C_S_Digital[[#This Row],[Peso]]),V137)),"")</f>
        <v/>
      </c>
    </row>
    <row r="139" spans="1:22" x14ac:dyDescent="0.25">
      <c r="A139" s="3">
        <v>134</v>
      </c>
      <c r="B139" s="85">
        <f>Mapa_RSD!B117</f>
        <v>0</v>
      </c>
      <c r="C139" s="136" t="e">
        <f>+R_S_Digital[[#This Row],[Código Riesgo]]</f>
        <v>#VALUE!</v>
      </c>
      <c r="D139" s="2"/>
      <c r="E139" s="141" t="str">
        <f>IF(C_S_Digital[[#This Row],[Responsable de ejecutar]]&lt;&gt;"",CONCATENATE(C_S_Digital[[#This Row],[Código riesgo]],"-",IF(C_S_Digital[[#This Row],[Código riesgo]]&lt;&gt;C138,1,RIGHT(E138,1)+1)),"")</f>
        <v/>
      </c>
      <c r="F139" s="147"/>
      <c r="G139" s="147"/>
      <c r="H139" s="147"/>
      <c r="I139" s="141" t="s">
        <v>105</v>
      </c>
      <c r="J139" s="141" t="s">
        <v>65</v>
      </c>
      <c r="K139" s="3"/>
      <c r="L139" s="3"/>
      <c r="M139" s="3"/>
      <c r="N139" s="3"/>
      <c r="O139" s="2"/>
      <c r="Q139" s="148"/>
      <c r="R139" s="148"/>
      <c r="S139" s="137">
        <f>_xlfn.XLOOKUP(CONCATENATE(C_S_Digital[[#This Row],[Momento de ejecución]],C_S_Digital[[#This Row],[Forma de ejecución]]),C_Atributos,C_Peso,"",0)</f>
        <v>0.25</v>
      </c>
      <c r="T139" s="141" t="str">
        <f>IFERROR(_xlfn.XLOOKUP(C_S_Digital[[#This Row],[Momento de ejecución]],C_Momento,C_Efecto,,0),"")</f>
        <v>Impacto</v>
      </c>
      <c r="U139" s="143" t="str">
        <f>IFERROR(IF(C_S_Digital[[#This Row],[Código riesgo]]&lt;&gt;C138,_xlfn.XLOOKUP(C139,R_S_Digital[Código Riesgo],#REF!,,0)*IF(C_S_Digital[[#This Row],[Efecto]]="Probabilidad",1-C_S_Digital[[#This Row],[Peso]],1),IF(C_S_Digital[[#This Row],[Efecto]]="Probabilidad",U138*(1-C_S_Digital[[#This Row],[Peso]]),U138)),"")</f>
        <v/>
      </c>
      <c r="V139" s="144" t="str">
        <f>IFERROR(IF(C_S_Digital[[#This Row],[Código riesgo]]&lt;&gt;C138,_xlfn.XLOOKUP(C_S_Digital[[#This Row],[Código riesgo]],R_S_Digital[Código Riesgo],#REF!,,0)*IF(C_S_Digital[[#This Row],[Efecto]]="Impacto",1-C_S_Digital[[#This Row],[Peso]],1),IF(C_S_Digital[[#This Row],[Efecto]]="Impacto",V138*(1-C_S_Digital[[#This Row],[Peso]]),V138)),"")</f>
        <v/>
      </c>
    </row>
    <row r="140" spans="1:22" x14ac:dyDescent="0.25">
      <c r="A140" s="3">
        <v>135</v>
      </c>
      <c r="B140" s="85">
        <f>Mapa_RSD!B118</f>
        <v>0</v>
      </c>
      <c r="C140" s="136" t="e">
        <f>+R_S_Digital[[#This Row],[Código Riesgo]]</f>
        <v>#VALUE!</v>
      </c>
      <c r="D140" s="2"/>
      <c r="E140" s="141" t="str">
        <f>IF(C_S_Digital[[#This Row],[Responsable de ejecutar]]&lt;&gt;"",CONCATENATE(C_S_Digital[[#This Row],[Código riesgo]],"-",IF(C_S_Digital[[#This Row],[Código riesgo]]&lt;&gt;C139,1,RIGHT(E139,1)+1)),"")</f>
        <v/>
      </c>
      <c r="F140" s="147"/>
      <c r="G140" s="147"/>
      <c r="H140" s="147"/>
      <c r="I140" s="141" t="s">
        <v>105</v>
      </c>
      <c r="J140" s="141" t="s">
        <v>65</v>
      </c>
      <c r="K140" s="3"/>
      <c r="L140" s="3"/>
      <c r="M140" s="3"/>
      <c r="N140" s="3"/>
      <c r="O140" s="2"/>
      <c r="Q140" s="148"/>
      <c r="R140" s="148"/>
      <c r="S140" s="137">
        <f>_xlfn.XLOOKUP(CONCATENATE(C_S_Digital[[#This Row],[Momento de ejecución]],C_S_Digital[[#This Row],[Forma de ejecución]]),C_Atributos,C_Peso,"",0)</f>
        <v>0.25</v>
      </c>
      <c r="T140" s="141" t="str">
        <f>IFERROR(_xlfn.XLOOKUP(C_S_Digital[[#This Row],[Momento de ejecución]],C_Momento,C_Efecto,,0),"")</f>
        <v>Impacto</v>
      </c>
      <c r="U140" s="143" t="str">
        <f>IFERROR(IF(C_S_Digital[[#This Row],[Código riesgo]]&lt;&gt;C139,_xlfn.XLOOKUP(C140,R_S_Digital[Código Riesgo],#REF!,,0)*IF(C_S_Digital[[#This Row],[Efecto]]="Probabilidad",1-C_S_Digital[[#This Row],[Peso]],1),IF(C_S_Digital[[#This Row],[Efecto]]="Probabilidad",U139*(1-C_S_Digital[[#This Row],[Peso]]),U139)),"")</f>
        <v/>
      </c>
      <c r="V140" s="144" t="str">
        <f>IFERROR(IF(C_S_Digital[[#This Row],[Código riesgo]]&lt;&gt;C139,_xlfn.XLOOKUP(C_S_Digital[[#This Row],[Código riesgo]],R_S_Digital[Código Riesgo],#REF!,,0)*IF(C_S_Digital[[#This Row],[Efecto]]="Impacto",1-C_S_Digital[[#This Row],[Peso]],1),IF(C_S_Digital[[#This Row],[Efecto]]="Impacto",V139*(1-C_S_Digital[[#This Row],[Peso]]),V139)),"")</f>
        <v/>
      </c>
    </row>
    <row r="141" spans="1:22" x14ac:dyDescent="0.25">
      <c r="A141" s="3">
        <v>136</v>
      </c>
      <c r="B141" s="85">
        <f>Mapa_RSD!B119</f>
        <v>0</v>
      </c>
      <c r="C141" s="136" t="e">
        <f>+R_S_Digital[[#This Row],[Código Riesgo]]</f>
        <v>#VALUE!</v>
      </c>
      <c r="D141" s="2"/>
      <c r="E141" s="141" t="str">
        <f>IF(C_S_Digital[[#This Row],[Responsable de ejecutar]]&lt;&gt;"",CONCATENATE(C_S_Digital[[#This Row],[Código riesgo]],"-",IF(C_S_Digital[[#This Row],[Código riesgo]]&lt;&gt;C140,1,RIGHT(E140,1)+1)),"")</f>
        <v/>
      </c>
      <c r="F141" s="147"/>
      <c r="G141" s="147"/>
      <c r="H141" s="147"/>
      <c r="I141" s="141" t="s">
        <v>105</v>
      </c>
      <c r="J141" s="141" t="s">
        <v>65</v>
      </c>
      <c r="K141" s="3"/>
      <c r="L141" s="3"/>
      <c r="M141" s="3"/>
      <c r="N141" s="3"/>
      <c r="O141" s="2"/>
      <c r="Q141" s="148"/>
      <c r="R141" s="148"/>
      <c r="S141" s="137">
        <f>_xlfn.XLOOKUP(CONCATENATE(C_S_Digital[[#This Row],[Momento de ejecución]],C_S_Digital[[#This Row],[Forma de ejecución]]),C_Atributos,C_Peso,"",0)</f>
        <v>0.25</v>
      </c>
      <c r="T141" s="141" t="str">
        <f>IFERROR(_xlfn.XLOOKUP(C_S_Digital[[#This Row],[Momento de ejecución]],C_Momento,C_Efecto,,0),"")</f>
        <v>Impacto</v>
      </c>
      <c r="U141" s="143" t="str">
        <f>IFERROR(IF(C_S_Digital[[#This Row],[Código riesgo]]&lt;&gt;C140,_xlfn.XLOOKUP(C141,R_S_Digital[Código Riesgo],#REF!,,0)*IF(C_S_Digital[[#This Row],[Efecto]]="Probabilidad",1-C_S_Digital[[#This Row],[Peso]],1),IF(C_S_Digital[[#This Row],[Efecto]]="Probabilidad",U140*(1-C_S_Digital[[#This Row],[Peso]]),U140)),"")</f>
        <v/>
      </c>
      <c r="V141" s="144" t="str">
        <f>IFERROR(IF(C_S_Digital[[#This Row],[Código riesgo]]&lt;&gt;C140,_xlfn.XLOOKUP(C_S_Digital[[#This Row],[Código riesgo]],R_S_Digital[Código Riesgo],#REF!,,0)*IF(C_S_Digital[[#This Row],[Efecto]]="Impacto",1-C_S_Digital[[#This Row],[Peso]],1),IF(C_S_Digital[[#This Row],[Efecto]]="Impacto",V140*(1-C_S_Digital[[#This Row],[Peso]]),V140)),"")</f>
        <v/>
      </c>
    </row>
    <row r="142" spans="1:22" x14ac:dyDescent="0.25">
      <c r="A142" s="3">
        <v>137</v>
      </c>
      <c r="B142" s="85">
        <f>Mapa_RSD!B120</f>
        <v>0</v>
      </c>
      <c r="C142" s="136" t="e">
        <f>+R_S_Digital[[#This Row],[Código Riesgo]]</f>
        <v>#VALUE!</v>
      </c>
      <c r="D142" s="2"/>
      <c r="E142" s="141" t="str">
        <f>IF(C_S_Digital[[#This Row],[Responsable de ejecutar]]&lt;&gt;"",CONCATENATE(C_S_Digital[[#This Row],[Código riesgo]],"-",IF(C_S_Digital[[#This Row],[Código riesgo]]&lt;&gt;C141,1,RIGHT(E141,1)+1)),"")</f>
        <v/>
      </c>
      <c r="F142" s="147"/>
      <c r="G142" s="147"/>
      <c r="H142" s="147"/>
      <c r="I142" s="141" t="s">
        <v>105</v>
      </c>
      <c r="J142" s="141" t="s">
        <v>65</v>
      </c>
      <c r="K142" s="3"/>
      <c r="L142" s="3"/>
      <c r="M142" s="3"/>
      <c r="N142" s="3"/>
      <c r="O142" s="2"/>
      <c r="Q142" s="148"/>
      <c r="R142" s="148"/>
      <c r="S142" s="137">
        <f>_xlfn.XLOOKUP(CONCATENATE(C_S_Digital[[#This Row],[Momento de ejecución]],C_S_Digital[[#This Row],[Forma de ejecución]]),C_Atributos,C_Peso,"",0)</f>
        <v>0.25</v>
      </c>
      <c r="T142" s="141" t="str">
        <f>IFERROR(_xlfn.XLOOKUP(C_S_Digital[[#This Row],[Momento de ejecución]],C_Momento,C_Efecto,,0),"")</f>
        <v>Impacto</v>
      </c>
      <c r="U142" s="143" t="str">
        <f>IFERROR(IF(C_S_Digital[[#This Row],[Código riesgo]]&lt;&gt;C141,_xlfn.XLOOKUP(C142,R_S_Digital[Código Riesgo],#REF!,,0)*IF(C_S_Digital[[#This Row],[Efecto]]="Probabilidad",1-C_S_Digital[[#This Row],[Peso]],1),IF(C_S_Digital[[#This Row],[Efecto]]="Probabilidad",U141*(1-C_S_Digital[[#This Row],[Peso]]),U141)),"")</f>
        <v/>
      </c>
      <c r="V142" s="144" t="str">
        <f>IFERROR(IF(C_S_Digital[[#This Row],[Código riesgo]]&lt;&gt;C141,_xlfn.XLOOKUP(C_S_Digital[[#This Row],[Código riesgo]],R_S_Digital[Código Riesgo],#REF!,,0)*IF(C_S_Digital[[#This Row],[Efecto]]="Impacto",1-C_S_Digital[[#This Row],[Peso]],1),IF(C_S_Digital[[#This Row],[Efecto]]="Impacto",V141*(1-C_S_Digital[[#This Row],[Peso]]),V141)),"")</f>
        <v/>
      </c>
    </row>
    <row r="143" spans="1:22" x14ac:dyDescent="0.25">
      <c r="A143" s="3">
        <v>138</v>
      </c>
      <c r="B143" s="85">
        <f>Mapa_RSD!B121</f>
        <v>0</v>
      </c>
      <c r="C143" s="136" t="e">
        <f>+R_S_Digital[[#This Row],[Código Riesgo]]</f>
        <v>#VALUE!</v>
      </c>
      <c r="D143" s="2"/>
      <c r="E143" s="141" t="str">
        <f>IF(C_S_Digital[[#This Row],[Responsable de ejecutar]]&lt;&gt;"",CONCATENATE(C_S_Digital[[#This Row],[Código riesgo]],"-",IF(C_S_Digital[[#This Row],[Código riesgo]]&lt;&gt;C142,1,RIGHT(E142,1)+1)),"")</f>
        <v/>
      </c>
      <c r="F143" s="147"/>
      <c r="G143" s="147"/>
      <c r="H143" s="147"/>
      <c r="I143" s="141" t="s">
        <v>105</v>
      </c>
      <c r="J143" s="141" t="s">
        <v>65</v>
      </c>
      <c r="K143" s="3"/>
      <c r="L143" s="3"/>
      <c r="M143" s="3"/>
      <c r="N143" s="3"/>
      <c r="O143" s="2"/>
      <c r="Q143" s="148"/>
      <c r="R143" s="148"/>
      <c r="S143" s="137">
        <f>_xlfn.XLOOKUP(CONCATENATE(C_S_Digital[[#This Row],[Momento de ejecución]],C_S_Digital[[#This Row],[Forma de ejecución]]),C_Atributos,C_Peso,"",0)</f>
        <v>0.25</v>
      </c>
      <c r="T143" s="141" t="str">
        <f>IFERROR(_xlfn.XLOOKUP(C_S_Digital[[#This Row],[Momento de ejecución]],C_Momento,C_Efecto,,0),"")</f>
        <v>Impacto</v>
      </c>
      <c r="U143" s="143" t="str">
        <f>IFERROR(IF(C_S_Digital[[#This Row],[Código riesgo]]&lt;&gt;C142,_xlfn.XLOOKUP(C143,R_S_Digital[Código Riesgo],#REF!,,0)*IF(C_S_Digital[[#This Row],[Efecto]]="Probabilidad",1-C_S_Digital[[#This Row],[Peso]],1),IF(C_S_Digital[[#This Row],[Efecto]]="Probabilidad",U142*(1-C_S_Digital[[#This Row],[Peso]]),U142)),"")</f>
        <v/>
      </c>
      <c r="V143" s="144" t="str">
        <f>IFERROR(IF(C_S_Digital[[#This Row],[Código riesgo]]&lt;&gt;C142,_xlfn.XLOOKUP(C_S_Digital[[#This Row],[Código riesgo]],R_S_Digital[Código Riesgo],#REF!,,0)*IF(C_S_Digital[[#This Row],[Efecto]]="Impacto",1-C_S_Digital[[#This Row],[Peso]],1),IF(C_S_Digital[[#This Row],[Efecto]]="Impacto",V142*(1-C_S_Digital[[#This Row],[Peso]]),V142)),"")</f>
        <v/>
      </c>
    </row>
    <row r="144" spans="1:22" x14ac:dyDescent="0.25">
      <c r="A144" s="3">
        <v>139</v>
      </c>
      <c r="B144" s="85">
        <f>Mapa_RSD!B122</f>
        <v>0</v>
      </c>
      <c r="C144" s="136" t="e">
        <f>+R_S_Digital[[#This Row],[Código Riesgo]]</f>
        <v>#VALUE!</v>
      </c>
      <c r="D144" s="2"/>
      <c r="E144" s="141" t="str">
        <f>IF(C_S_Digital[[#This Row],[Responsable de ejecutar]]&lt;&gt;"",CONCATENATE(C_S_Digital[[#This Row],[Código riesgo]],"-",IF(C_S_Digital[[#This Row],[Código riesgo]]&lt;&gt;C143,1,RIGHT(E143,1)+1)),"")</f>
        <v/>
      </c>
      <c r="F144" s="147"/>
      <c r="G144" s="147"/>
      <c r="H144" s="147"/>
      <c r="I144" s="141" t="s">
        <v>105</v>
      </c>
      <c r="J144" s="141" t="s">
        <v>65</v>
      </c>
      <c r="K144" s="3"/>
      <c r="L144" s="3"/>
      <c r="M144" s="3"/>
      <c r="N144" s="3"/>
      <c r="O144" s="2"/>
      <c r="Q144" s="148"/>
      <c r="R144" s="148"/>
      <c r="S144" s="137">
        <f>_xlfn.XLOOKUP(CONCATENATE(C_S_Digital[[#This Row],[Momento de ejecución]],C_S_Digital[[#This Row],[Forma de ejecución]]),C_Atributos,C_Peso,"",0)</f>
        <v>0.25</v>
      </c>
      <c r="T144" s="141" t="str">
        <f>IFERROR(_xlfn.XLOOKUP(C_S_Digital[[#This Row],[Momento de ejecución]],C_Momento,C_Efecto,,0),"")</f>
        <v>Impacto</v>
      </c>
      <c r="U144" s="143" t="str">
        <f>IFERROR(IF(C_S_Digital[[#This Row],[Código riesgo]]&lt;&gt;C143,_xlfn.XLOOKUP(C144,R_S_Digital[Código Riesgo],#REF!,,0)*IF(C_S_Digital[[#This Row],[Efecto]]="Probabilidad",1-C_S_Digital[[#This Row],[Peso]],1),IF(C_S_Digital[[#This Row],[Efecto]]="Probabilidad",U143*(1-C_S_Digital[[#This Row],[Peso]]),U143)),"")</f>
        <v/>
      </c>
      <c r="V144" s="144" t="str">
        <f>IFERROR(IF(C_S_Digital[[#This Row],[Código riesgo]]&lt;&gt;C143,_xlfn.XLOOKUP(C_S_Digital[[#This Row],[Código riesgo]],R_S_Digital[Código Riesgo],#REF!,,0)*IF(C_S_Digital[[#This Row],[Efecto]]="Impacto",1-C_S_Digital[[#This Row],[Peso]],1),IF(C_S_Digital[[#This Row],[Efecto]]="Impacto",V143*(1-C_S_Digital[[#This Row],[Peso]]),V143)),"")</f>
        <v/>
      </c>
    </row>
    <row r="145" spans="1:22" x14ac:dyDescent="0.25">
      <c r="A145" s="3">
        <v>140</v>
      </c>
      <c r="B145" s="85">
        <f>Mapa_RSD!B123</f>
        <v>0</v>
      </c>
      <c r="C145" s="136" t="e">
        <f>+R_S_Digital[[#This Row],[Código Riesgo]]</f>
        <v>#VALUE!</v>
      </c>
      <c r="D145" s="2"/>
      <c r="E145" s="141" t="str">
        <f>IF(C_S_Digital[[#This Row],[Responsable de ejecutar]]&lt;&gt;"",CONCATENATE(C_S_Digital[[#This Row],[Código riesgo]],"-",IF(C_S_Digital[[#This Row],[Código riesgo]]&lt;&gt;C144,1,RIGHT(E144,1)+1)),"")</f>
        <v/>
      </c>
      <c r="F145" s="147"/>
      <c r="G145" s="147"/>
      <c r="H145" s="147"/>
      <c r="I145" s="141" t="s">
        <v>105</v>
      </c>
      <c r="J145" s="141" t="s">
        <v>65</v>
      </c>
      <c r="K145" s="3"/>
      <c r="L145" s="3"/>
      <c r="M145" s="3"/>
      <c r="N145" s="3"/>
      <c r="O145" s="2"/>
      <c r="Q145" s="148"/>
      <c r="R145" s="148"/>
      <c r="S145" s="137">
        <f>_xlfn.XLOOKUP(CONCATENATE(C_S_Digital[[#This Row],[Momento de ejecución]],C_S_Digital[[#This Row],[Forma de ejecución]]),C_Atributos,C_Peso,"",0)</f>
        <v>0.25</v>
      </c>
      <c r="T145" s="141" t="str">
        <f>IFERROR(_xlfn.XLOOKUP(C_S_Digital[[#This Row],[Momento de ejecución]],C_Momento,C_Efecto,,0),"")</f>
        <v>Impacto</v>
      </c>
      <c r="U145" s="143" t="str">
        <f>IFERROR(IF(C_S_Digital[[#This Row],[Código riesgo]]&lt;&gt;C144,_xlfn.XLOOKUP(C145,R_S_Digital[Código Riesgo],#REF!,,0)*IF(C_S_Digital[[#This Row],[Efecto]]="Probabilidad",1-C_S_Digital[[#This Row],[Peso]],1),IF(C_S_Digital[[#This Row],[Efecto]]="Probabilidad",U144*(1-C_S_Digital[[#This Row],[Peso]]),U144)),"")</f>
        <v/>
      </c>
      <c r="V145" s="144" t="str">
        <f>IFERROR(IF(C_S_Digital[[#This Row],[Código riesgo]]&lt;&gt;C144,_xlfn.XLOOKUP(C_S_Digital[[#This Row],[Código riesgo]],R_S_Digital[Código Riesgo],#REF!,,0)*IF(C_S_Digital[[#This Row],[Efecto]]="Impacto",1-C_S_Digital[[#This Row],[Peso]],1),IF(C_S_Digital[[#This Row],[Efecto]]="Impacto",V144*(1-C_S_Digital[[#This Row],[Peso]]),V144)),"")</f>
        <v/>
      </c>
    </row>
    <row r="146" spans="1:22" x14ac:dyDescent="0.25">
      <c r="A146" s="3">
        <v>141</v>
      </c>
      <c r="B146" s="85">
        <f>Mapa_RSD!B124</f>
        <v>0</v>
      </c>
      <c r="C146" s="136" t="e">
        <f>+R_S_Digital[[#This Row],[Código Riesgo]]</f>
        <v>#VALUE!</v>
      </c>
      <c r="D146" s="2"/>
      <c r="E146" s="141" t="str">
        <f>IF(C_S_Digital[[#This Row],[Responsable de ejecutar]]&lt;&gt;"",CONCATENATE(C_S_Digital[[#This Row],[Código riesgo]],"-",IF(C_S_Digital[[#This Row],[Código riesgo]]&lt;&gt;C145,1,RIGHT(E145,1)+1)),"")</f>
        <v/>
      </c>
      <c r="F146" s="147"/>
      <c r="G146" s="147"/>
      <c r="H146" s="147"/>
      <c r="I146" s="141" t="s">
        <v>105</v>
      </c>
      <c r="J146" s="141" t="s">
        <v>65</v>
      </c>
      <c r="K146" s="3"/>
      <c r="L146" s="3"/>
      <c r="M146" s="3"/>
      <c r="N146" s="3"/>
      <c r="O146" s="2"/>
      <c r="Q146" s="148"/>
      <c r="R146" s="148"/>
      <c r="S146" s="137">
        <f>_xlfn.XLOOKUP(CONCATENATE(C_S_Digital[[#This Row],[Momento de ejecución]],C_S_Digital[[#This Row],[Forma de ejecución]]),C_Atributos,C_Peso,"",0)</f>
        <v>0.25</v>
      </c>
      <c r="T146" s="141" t="str">
        <f>IFERROR(_xlfn.XLOOKUP(C_S_Digital[[#This Row],[Momento de ejecución]],C_Momento,C_Efecto,,0),"")</f>
        <v>Impacto</v>
      </c>
      <c r="U146" s="143" t="str">
        <f>IFERROR(IF(C_S_Digital[[#This Row],[Código riesgo]]&lt;&gt;C145,_xlfn.XLOOKUP(C146,R_S_Digital[Código Riesgo],#REF!,,0)*IF(C_S_Digital[[#This Row],[Efecto]]="Probabilidad",1-C_S_Digital[[#This Row],[Peso]],1),IF(C_S_Digital[[#This Row],[Efecto]]="Probabilidad",U145*(1-C_S_Digital[[#This Row],[Peso]]),U145)),"")</f>
        <v/>
      </c>
      <c r="V146" s="144" t="str">
        <f>IFERROR(IF(C_S_Digital[[#This Row],[Código riesgo]]&lt;&gt;C145,_xlfn.XLOOKUP(C_S_Digital[[#This Row],[Código riesgo]],R_S_Digital[Código Riesgo],#REF!,,0)*IF(C_S_Digital[[#This Row],[Efecto]]="Impacto",1-C_S_Digital[[#This Row],[Peso]],1),IF(C_S_Digital[[#This Row],[Efecto]]="Impacto",V145*(1-C_S_Digital[[#This Row],[Peso]]),V145)),"")</f>
        <v/>
      </c>
    </row>
    <row r="147" spans="1:22" x14ac:dyDescent="0.25">
      <c r="A147" s="3">
        <v>142</v>
      </c>
      <c r="B147" s="85">
        <f>Mapa_RSD!B125</f>
        <v>0</v>
      </c>
      <c r="C147" s="136" t="e">
        <f>+R_S_Digital[[#This Row],[Código Riesgo]]</f>
        <v>#VALUE!</v>
      </c>
      <c r="D147" s="2"/>
      <c r="E147" s="141" t="str">
        <f>IF(C_S_Digital[[#This Row],[Responsable de ejecutar]]&lt;&gt;"",CONCATENATE(C_S_Digital[[#This Row],[Código riesgo]],"-",IF(C_S_Digital[[#This Row],[Código riesgo]]&lt;&gt;C146,1,RIGHT(E146,1)+1)),"")</f>
        <v/>
      </c>
      <c r="F147" s="147"/>
      <c r="G147" s="147"/>
      <c r="H147" s="147"/>
      <c r="I147" s="141" t="s">
        <v>105</v>
      </c>
      <c r="J147" s="141" t="s">
        <v>65</v>
      </c>
      <c r="K147" s="3"/>
      <c r="L147" s="3"/>
      <c r="M147" s="3"/>
      <c r="N147" s="3"/>
      <c r="O147" s="2"/>
      <c r="Q147" s="148"/>
      <c r="R147" s="148"/>
      <c r="S147" s="137">
        <f>_xlfn.XLOOKUP(CONCATENATE(C_S_Digital[[#This Row],[Momento de ejecución]],C_S_Digital[[#This Row],[Forma de ejecución]]),C_Atributos,C_Peso,"",0)</f>
        <v>0.25</v>
      </c>
      <c r="T147" s="141" t="str">
        <f>IFERROR(_xlfn.XLOOKUP(C_S_Digital[[#This Row],[Momento de ejecución]],C_Momento,C_Efecto,,0),"")</f>
        <v>Impacto</v>
      </c>
      <c r="U147" s="143" t="str">
        <f>IFERROR(IF(C_S_Digital[[#This Row],[Código riesgo]]&lt;&gt;C146,_xlfn.XLOOKUP(C147,R_S_Digital[Código Riesgo],#REF!,,0)*IF(C_S_Digital[[#This Row],[Efecto]]="Probabilidad",1-C_S_Digital[[#This Row],[Peso]],1),IF(C_S_Digital[[#This Row],[Efecto]]="Probabilidad",U146*(1-C_S_Digital[[#This Row],[Peso]]),U146)),"")</f>
        <v/>
      </c>
      <c r="V147" s="144" t="str">
        <f>IFERROR(IF(C_S_Digital[[#This Row],[Código riesgo]]&lt;&gt;C146,_xlfn.XLOOKUP(C_S_Digital[[#This Row],[Código riesgo]],R_S_Digital[Código Riesgo],#REF!,,0)*IF(C_S_Digital[[#This Row],[Efecto]]="Impacto",1-C_S_Digital[[#This Row],[Peso]],1),IF(C_S_Digital[[#This Row],[Efecto]]="Impacto",V146*(1-C_S_Digital[[#This Row],[Peso]]),V146)),"")</f>
        <v/>
      </c>
    </row>
    <row r="148" spans="1:22" x14ac:dyDescent="0.25">
      <c r="A148" s="3">
        <v>143</v>
      </c>
      <c r="B148" s="85">
        <f>Mapa_RSD!B126</f>
        <v>0</v>
      </c>
      <c r="C148" s="136" t="e">
        <f>+R_S_Digital[[#This Row],[Código Riesgo]]</f>
        <v>#VALUE!</v>
      </c>
      <c r="D148" s="2"/>
      <c r="E148" s="141" t="str">
        <f>IF(C_S_Digital[[#This Row],[Responsable de ejecutar]]&lt;&gt;"",CONCATENATE(C_S_Digital[[#This Row],[Código riesgo]],"-",IF(C_S_Digital[[#This Row],[Código riesgo]]&lt;&gt;C147,1,RIGHT(E147,1)+1)),"")</f>
        <v/>
      </c>
      <c r="F148" s="147"/>
      <c r="G148" s="147"/>
      <c r="H148" s="147"/>
      <c r="I148" s="141" t="s">
        <v>105</v>
      </c>
      <c r="J148" s="141" t="s">
        <v>65</v>
      </c>
      <c r="K148" s="3"/>
      <c r="L148" s="3"/>
      <c r="M148" s="3"/>
      <c r="N148" s="3"/>
      <c r="O148" s="2"/>
      <c r="Q148" s="148"/>
      <c r="R148" s="148"/>
      <c r="S148" s="137">
        <f>_xlfn.XLOOKUP(CONCATENATE(C_S_Digital[[#This Row],[Momento de ejecución]],C_S_Digital[[#This Row],[Forma de ejecución]]),C_Atributos,C_Peso,"",0)</f>
        <v>0.25</v>
      </c>
      <c r="T148" s="141" t="str">
        <f>IFERROR(_xlfn.XLOOKUP(C_S_Digital[[#This Row],[Momento de ejecución]],C_Momento,C_Efecto,,0),"")</f>
        <v>Impacto</v>
      </c>
      <c r="U148" s="143" t="str">
        <f>IFERROR(IF(C_S_Digital[[#This Row],[Código riesgo]]&lt;&gt;C147,_xlfn.XLOOKUP(C148,R_S_Digital[Código Riesgo],#REF!,,0)*IF(C_S_Digital[[#This Row],[Efecto]]="Probabilidad",1-C_S_Digital[[#This Row],[Peso]],1),IF(C_S_Digital[[#This Row],[Efecto]]="Probabilidad",U147*(1-C_S_Digital[[#This Row],[Peso]]),U147)),"")</f>
        <v/>
      </c>
      <c r="V148" s="144" t="str">
        <f>IFERROR(IF(C_S_Digital[[#This Row],[Código riesgo]]&lt;&gt;C147,_xlfn.XLOOKUP(C_S_Digital[[#This Row],[Código riesgo]],R_S_Digital[Código Riesgo],#REF!,,0)*IF(C_S_Digital[[#This Row],[Efecto]]="Impacto",1-C_S_Digital[[#This Row],[Peso]],1),IF(C_S_Digital[[#This Row],[Efecto]]="Impacto",V147*(1-C_S_Digital[[#This Row],[Peso]]),V147)),"")</f>
        <v/>
      </c>
    </row>
    <row r="149" spans="1:22" x14ac:dyDescent="0.25">
      <c r="A149" s="3">
        <v>144</v>
      </c>
      <c r="B149" s="85">
        <f>Mapa_RSD!B127</f>
        <v>0</v>
      </c>
      <c r="C149" s="136" t="e">
        <f>+R_S_Digital[[#This Row],[Código Riesgo]]</f>
        <v>#VALUE!</v>
      </c>
      <c r="D149" s="2"/>
      <c r="E149" s="141" t="str">
        <f>IF(C_S_Digital[[#This Row],[Responsable de ejecutar]]&lt;&gt;"",CONCATENATE(C_S_Digital[[#This Row],[Código riesgo]],"-",IF(C_S_Digital[[#This Row],[Código riesgo]]&lt;&gt;C148,1,RIGHT(E148,1)+1)),"")</f>
        <v/>
      </c>
      <c r="F149" s="147"/>
      <c r="G149" s="147"/>
      <c r="H149" s="147"/>
      <c r="I149" s="141" t="s">
        <v>105</v>
      </c>
      <c r="J149" s="141" t="s">
        <v>65</v>
      </c>
      <c r="K149" s="3"/>
      <c r="L149" s="3"/>
      <c r="M149" s="3"/>
      <c r="N149" s="3"/>
      <c r="O149" s="2"/>
      <c r="Q149" s="148"/>
      <c r="R149" s="148"/>
      <c r="S149" s="137">
        <f>_xlfn.XLOOKUP(CONCATENATE(C_S_Digital[[#This Row],[Momento de ejecución]],C_S_Digital[[#This Row],[Forma de ejecución]]),C_Atributos,C_Peso,"",0)</f>
        <v>0.25</v>
      </c>
      <c r="T149" s="141" t="str">
        <f>IFERROR(_xlfn.XLOOKUP(C_S_Digital[[#This Row],[Momento de ejecución]],C_Momento,C_Efecto,,0),"")</f>
        <v>Impacto</v>
      </c>
      <c r="U149" s="143" t="str">
        <f>IFERROR(IF(C_S_Digital[[#This Row],[Código riesgo]]&lt;&gt;C148,_xlfn.XLOOKUP(C149,R_S_Digital[Código Riesgo],#REF!,,0)*IF(C_S_Digital[[#This Row],[Efecto]]="Probabilidad",1-C_S_Digital[[#This Row],[Peso]],1),IF(C_S_Digital[[#This Row],[Efecto]]="Probabilidad",U148*(1-C_S_Digital[[#This Row],[Peso]]),U148)),"")</f>
        <v/>
      </c>
      <c r="V149" s="144" t="str">
        <f>IFERROR(IF(C_S_Digital[[#This Row],[Código riesgo]]&lt;&gt;C148,_xlfn.XLOOKUP(C_S_Digital[[#This Row],[Código riesgo]],R_S_Digital[Código Riesgo],#REF!,,0)*IF(C_S_Digital[[#This Row],[Efecto]]="Impacto",1-C_S_Digital[[#This Row],[Peso]],1),IF(C_S_Digital[[#This Row],[Efecto]]="Impacto",V148*(1-C_S_Digital[[#This Row],[Peso]]),V148)),"")</f>
        <v/>
      </c>
    </row>
    <row r="150" spans="1:22" x14ac:dyDescent="0.25">
      <c r="A150" s="3">
        <v>145</v>
      </c>
      <c r="B150" s="85">
        <f>Mapa_RSD!B128</f>
        <v>0</v>
      </c>
      <c r="C150" s="136" t="e">
        <f>+R_S_Digital[[#This Row],[Código Riesgo]]</f>
        <v>#VALUE!</v>
      </c>
      <c r="D150" s="2"/>
      <c r="E150" s="141" t="str">
        <f>IF(C_S_Digital[[#This Row],[Responsable de ejecutar]]&lt;&gt;"",CONCATENATE(C_S_Digital[[#This Row],[Código riesgo]],"-",IF(C_S_Digital[[#This Row],[Código riesgo]]&lt;&gt;C149,1,RIGHT(E149,1)+1)),"")</f>
        <v/>
      </c>
      <c r="F150" s="147"/>
      <c r="G150" s="147"/>
      <c r="H150" s="147"/>
      <c r="I150" s="141" t="s">
        <v>105</v>
      </c>
      <c r="J150" s="141" t="s">
        <v>65</v>
      </c>
      <c r="K150" s="3"/>
      <c r="L150" s="3"/>
      <c r="M150" s="3"/>
      <c r="N150" s="3"/>
      <c r="O150" s="2"/>
      <c r="Q150" s="148"/>
      <c r="R150" s="148"/>
      <c r="S150" s="137">
        <f>_xlfn.XLOOKUP(CONCATENATE(C_S_Digital[[#This Row],[Momento de ejecución]],C_S_Digital[[#This Row],[Forma de ejecución]]),C_Atributos,C_Peso,"",0)</f>
        <v>0.25</v>
      </c>
      <c r="T150" s="141" t="str">
        <f>IFERROR(_xlfn.XLOOKUP(C_S_Digital[[#This Row],[Momento de ejecución]],C_Momento,C_Efecto,,0),"")</f>
        <v>Impacto</v>
      </c>
      <c r="U150" s="143" t="str">
        <f>IFERROR(IF(C_S_Digital[[#This Row],[Código riesgo]]&lt;&gt;C149,_xlfn.XLOOKUP(C150,R_S_Digital[Código Riesgo],#REF!,,0)*IF(C_S_Digital[[#This Row],[Efecto]]="Probabilidad",1-C_S_Digital[[#This Row],[Peso]],1),IF(C_S_Digital[[#This Row],[Efecto]]="Probabilidad",U149*(1-C_S_Digital[[#This Row],[Peso]]),U149)),"")</f>
        <v/>
      </c>
      <c r="V150" s="144" t="str">
        <f>IFERROR(IF(C_S_Digital[[#This Row],[Código riesgo]]&lt;&gt;C149,_xlfn.XLOOKUP(C_S_Digital[[#This Row],[Código riesgo]],R_S_Digital[Código Riesgo],#REF!,,0)*IF(C_S_Digital[[#This Row],[Efecto]]="Impacto",1-C_S_Digital[[#This Row],[Peso]],1),IF(C_S_Digital[[#This Row],[Efecto]]="Impacto",V149*(1-C_S_Digital[[#This Row],[Peso]]),V149)),"")</f>
        <v/>
      </c>
    </row>
    <row r="151" spans="1:22" x14ac:dyDescent="0.25">
      <c r="A151" s="3">
        <v>146</v>
      </c>
      <c r="B151" s="85">
        <f>Mapa_RSD!B129</f>
        <v>0</v>
      </c>
      <c r="C151" s="136" t="e">
        <f>+R_S_Digital[[#This Row],[Código Riesgo]]</f>
        <v>#VALUE!</v>
      </c>
      <c r="D151" s="2"/>
      <c r="E151" s="141" t="str">
        <f>IF(C_S_Digital[[#This Row],[Responsable de ejecutar]]&lt;&gt;"",CONCATENATE(C_S_Digital[[#This Row],[Código riesgo]],"-",IF(C_S_Digital[[#This Row],[Código riesgo]]&lt;&gt;C150,1,RIGHT(E150,1)+1)),"")</f>
        <v/>
      </c>
      <c r="F151" s="147"/>
      <c r="G151" s="147"/>
      <c r="H151" s="147"/>
      <c r="I151" s="141" t="s">
        <v>105</v>
      </c>
      <c r="J151" s="141" t="s">
        <v>65</v>
      </c>
      <c r="K151" s="3"/>
      <c r="L151" s="3"/>
      <c r="M151" s="3"/>
      <c r="N151" s="3"/>
      <c r="O151" s="2"/>
      <c r="Q151" s="148"/>
      <c r="R151" s="148"/>
      <c r="S151" s="137">
        <f>_xlfn.XLOOKUP(CONCATENATE(C_S_Digital[[#This Row],[Momento de ejecución]],C_S_Digital[[#This Row],[Forma de ejecución]]),C_Atributos,C_Peso,"",0)</f>
        <v>0.25</v>
      </c>
      <c r="T151" s="141" t="str">
        <f>IFERROR(_xlfn.XLOOKUP(C_S_Digital[[#This Row],[Momento de ejecución]],C_Momento,C_Efecto,,0),"")</f>
        <v>Impacto</v>
      </c>
      <c r="U151" s="143" t="str">
        <f>IFERROR(IF(C_S_Digital[[#This Row],[Código riesgo]]&lt;&gt;C150,_xlfn.XLOOKUP(C151,R_S_Digital[Código Riesgo],#REF!,,0)*IF(C_S_Digital[[#This Row],[Efecto]]="Probabilidad",1-C_S_Digital[[#This Row],[Peso]],1),IF(C_S_Digital[[#This Row],[Efecto]]="Probabilidad",U150*(1-C_S_Digital[[#This Row],[Peso]]),U150)),"")</f>
        <v/>
      </c>
      <c r="V151" s="144" t="str">
        <f>IFERROR(IF(C_S_Digital[[#This Row],[Código riesgo]]&lt;&gt;C150,_xlfn.XLOOKUP(C_S_Digital[[#This Row],[Código riesgo]],R_S_Digital[Código Riesgo],#REF!,,0)*IF(C_S_Digital[[#This Row],[Efecto]]="Impacto",1-C_S_Digital[[#This Row],[Peso]],1),IF(C_S_Digital[[#This Row],[Efecto]]="Impacto",V150*(1-C_S_Digital[[#This Row],[Peso]]),V150)),"")</f>
        <v/>
      </c>
    </row>
    <row r="152" spans="1:22" x14ac:dyDescent="0.25">
      <c r="A152" s="3">
        <v>147</v>
      </c>
      <c r="B152" s="85">
        <f>Mapa_RSD!B130</f>
        <v>0</v>
      </c>
      <c r="C152" s="136" t="e">
        <f>+R_S_Digital[[#This Row],[Código Riesgo]]</f>
        <v>#VALUE!</v>
      </c>
      <c r="D152" s="2"/>
      <c r="E152" s="141" t="str">
        <f>IF(C_S_Digital[[#This Row],[Responsable de ejecutar]]&lt;&gt;"",CONCATENATE(C_S_Digital[[#This Row],[Código riesgo]],"-",IF(C_S_Digital[[#This Row],[Código riesgo]]&lt;&gt;C151,1,RIGHT(E151,1)+1)),"")</f>
        <v/>
      </c>
      <c r="F152" s="147"/>
      <c r="G152" s="147"/>
      <c r="H152" s="147"/>
      <c r="I152" s="141" t="s">
        <v>105</v>
      </c>
      <c r="J152" s="141" t="s">
        <v>65</v>
      </c>
      <c r="K152" s="3"/>
      <c r="L152" s="3"/>
      <c r="M152" s="3"/>
      <c r="N152" s="3"/>
      <c r="O152" s="2"/>
      <c r="Q152" s="148"/>
      <c r="R152" s="148"/>
      <c r="S152" s="137">
        <f>_xlfn.XLOOKUP(CONCATENATE(C_S_Digital[[#This Row],[Momento de ejecución]],C_S_Digital[[#This Row],[Forma de ejecución]]),C_Atributos,C_Peso,"",0)</f>
        <v>0.25</v>
      </c>
      <c r="T152" s="141" t="str">
        <f>IFERROR(_xlfn.XLOOKUP(C_S_Digital[[#This Row],[Momento de ejecución]],C_Momento,C_Efecto,,0),"")</f>
        <v>Impacto</v>
      </c>
      <c r="U152" s="143" t="str">
        <f>IFERROR(IF(C_S_Digital[[#This Row],[Código riesgo]]&lt;&gt;C151,_xlfn.XLOOKUP(C152,R_S_Digital[Código Riesgo],#REF!,,0)*IF(C_S_Digital[[#This Row],[Efecto]]="Probabilidad",1-C_S_Digital[[#This Row],[Peso]],1),IF(C_S_Digital[[#This Row],[Efecto]]="Probabilidad",U151*(1-C_S_Digital[[#This Row],[Peso]]),U151)),"")</f>
        <v/>
      </c>
      <c r="V152" s="144" t="str">
        <f>IFERROR(IF(C_S_Digital[[#This Row],[Código riesgo]]&lt;&gt;C151,_xlfn.XLOOKUP(C_S_Digital[[#This Row],[Código riesgo]],R_S_Digital[Código Riesgo],#REF!,,0)*IF(C_S_Digital[[#This Row],[Efecto]]="Impacto",1-C_S_Digital[[#This Row],[Peso]],1),IF(C_S_Digital[[#This Row],[Efecto]]="Impacto",V151*(1-C_S_Digital[[#This Row],[Peso]]),V151)),"")</f>
        <v/>
      </c>
    </row>
    <row r="153" spans="1:22" x14ac:dyDescent="0.25">
      <c r="A153" s="3">
        <v>148</v>
      </c>
      <c r="B153" s="85">
        <f>Mapa_RSD!B131</f>
        <v>0</v>
      </c>
      <c r="C153" s="136" t="e">
        <f>+R_S_Digital[[#This Row],[Código Riesgo]]</f>
        <v>#VALUE!</v>
      </c>
      <c r="D153" s="2"/>
      <c r="E153" s="141" t="str">
        <f>IF(C_S_Digital[[#This Row],[Responsable de ejecutar]]&lt;&gt;"",CONCATENATE(C_S_Digital[[#This Row],[Código riesgo]],"-",IF(C_S_Digital[[#This Row],[Código riesgo]]&lt;&gt;C152,1,RIGHT(E152,1)+1)),"")</f>
        <v/>
      </c>
      <c r="F153" s="147"/>
      <c r="G153" s="147"/>
      <c r="H153" s="147"/>
      <c r="I153" s="141" t="s">
        <v>105</v>
      </c>
      <c r="J153" s="141" t="s">
        <v>65</v>
      </c>
      <c r="K153" s="3"/>
      <c r="L153" s="3"/>
      <c r="M153" s="3"/>
      <c r="N153" s="3"/>
      <c r="O153" s="2"/>
      <c r="Q153" s="148"/>
      <c r="R153" s="148"/>
      <c r="S153" s="137">
        <f>_xlfn.XLOOKUP(CONCATENATE(C_S_Digital[[#This Row],[Momento de ejecución]],C_S_Digital[[#This Row],[Forma de ejecución]]),C_Atributos,C_Peso,"",0)</f>
        <v>0.25</v>
      </c>
      <c r="T153" s="141" t="str">
        <f>IFERROR(_xlfn.XLOOKUP(C_S_Digital[[#This Row],[Momento de ejecución]],C_Momento,C_Efecto,,0),"")</f>
        <v>Impacto</v>
      </c>
      <c r="U153" s="143" t="str">
        <f>IFERROR(IF(C_S_Digital[[#This Row],[Código riesgo]]&lt;&gt;C152,_xlfn.XLOOKUP(C153,R_S_Digital[Código Riesgo],#REF!,,0)*IF(C_S_Digital[[#This Row],[Efecto]]="Probabilidad",1-C_S_Digital[[#This Row],[Peso]],1),IF(C_S_Digital[[#This Row],[Efecto]]="Probabilidad",U152*(1-C_S_Digital[[#This Row],[Peso]]),U152)),"")</f>
        <v/>
      </c>
      <c r="V153" s="144" t="str">
        <f>IFERROR(IF(C_S_Digital[[#This Row],[Código riesgo]]&lt;&gt;C152,_xlfn.XLOOKUP(C_S_Digital[[#This Row],[Código riesgo]],R_S_Digital[Código Riesgo],#REF!,,0)*IF(C_S_Digital[[#This Row],[Efecto]]="Impacto",1-C_S_Digital[[#This Row],[Peso]],1),IF(C_S_Digital[[#This Row],[Efecto]]="Impacto",V152*(1-C_S_Digital[[#This Row],[Peso]]),V152)),"")</f>
        <v/>
      </c>
    </row>
    <row r="154" spans="1:22" x14ac:dyDescent="0.25">
      <c r="A154" s="3">
        <v>149</v>
      </c>
      <c r="B154" s="85">
        <f>Mapa_RSD!B132</f>
        <v>0</v>
      </c>
      <c r="C154" s="136" t="e">
        <f>+R_S_Digital[[#This Row],[Código Riesgo]]</f>
        <v>#VALUE!</v>
      </c>
      <c r="D154" s="2"/>
      <c r="E154" s="141" t="str">
        <f>IF(C_S_Digital[[#This Row],[Responsable de ejecutar]]&lt;&gt;"",CONCATENATE(C_S_Digital[[#This Row],[Código riesgo]],"-",IF(C_S_Digital[[#This Row],[Código riesgo]]&lt;&gt;C153,1,RIGHT(E153,1)+1)),"")</f>
        <v/>
      </c>
      <c r="F154" s="147"/>
      <c r="G154" s="147"/>
      <c r="H154" s="147"/>
      <c r="I154" s="141" t="s">
        <v>105</v>
      </c>
      <c r="J154" s="141" t="s">
        <v>65</v>
      </c>
      <c r="K154" s="3"/>
      <c r="L154" s="3"/>
      <c r="M154" s="3"/>
      <c r="N154" s="3"/>
      <c r="O154" s="2"/>
      <c r="Q154" s="148"/>
      <c r="R154" s="148"/>
      <c r="S154" s="137">
        <f>_xlfn.XLOOKUP(CONCATENATE(C_S_Digital[[#This Row],[Momento de ejecución]],C_S_Digital[[#This Row],[Forma de ejecución]]),C_Atributos,C_Peso,"",0)</f>
        <v>0.25</v>
      </c>
      <c r="T154" s="141" t="str">
        <f>IFERROR(_xlfn.XLOOKUP(C_S_Digital[[#This Row],[Momento de ejecución]],C_Momento,C_Efecto,,0),"")</f>
        <v>Impacto</v>
      </c>
      <c r="U154" s="143" t="str">
        <f>IFERROR(IF(C_S_Digital[[#This Row],[Código riesgo]]&lt;&gt;C153,_xlfn.XLOOKUP(C154,R_S_Digital[Código Riesgo],#REF!,,0)*IF(C_S_Digital[[#This Row],[Efecto]]="Probabilidad",1-C_S_Digital[[#This Row],[Peso]],1),IF(C_S_Digital[[#This Row],[Efecto]]="Probabilidad",U153*(1-C_S_Digital[[#This Row],[Peso]]),U153)),"")</f>
        <v/>
      </c>
      <c r="V154" s="144" t="str">
        <f>IFERROR(IF(C_S_Digital[[#This Row],[Código riesgo]]&lt;&gt;C153,_xlfn.XLOOKUP(C_S_Digital[[#This Row],[Código riesgo]],R_S_Digital[Código Riesgo],#REF!,,0)*IF(C_S_Digital[[#This Row],[Efecto]]="Impacto",1-C_S_Digital[[#This Row],[Peso]],1),IF(C_S_Digital[[#This Row],[Efecto]]="Impacto",V153*(1-C_S_Digital[[#This Row],[Peso]]),V153)),"")</f>
        <v/>
      </c>
    </row>
    <row r="155" spans="1:22" x14ac:dyDescent="0.25">
      <c r="A155" s="3">
        <v>150</v>
      </c>
      <c r="B155" s="85">
        <f>Mapa_RSD!B133</f>
        <v>0</v>
      </c>
      <c r="C155" s="136" t="e">
        <f>+R_S_Digital[[#This Row],[Código Riesgo]]</f>
        <v>#VALUE!</v>
      </c>
      <c r="D155" s="2"/>
      <c r="E155" s="141" t="str">
        <f>IF(C_S_Digital[[#This Row],[Responsable de ejecutar]]&lt;&gt;"",CONCATENATE(C_S_Digital[[#This Row],[Código riesgo]],"-",IF(C_S_Digital[[#This Row],[Código riesgo]]&lt;&gt;C154,1,RIGHT(E154,1)+1)),"")</f>
        <v/>
      </c>
      <c r="F155" s="147"/>
      <c r="G155" s="147"/>
      <c r="H155" s="147"/>
      <c r="I155" s="141" t="s">
        <v>105</v>
      </c>
      <c r="J155" s="141" t="s">
        <v>65</v>
      </c>
      <c r="K155" s="3"/>
      <c r="L155" s="3"/>
      <c r="M155" s="3"/>
      <c r="N155" s="3"/>
      <c r="O155" s="2"/>
      <c r="Q155" s="148"/>
      <c r="R155" s="148"/>
      <c r="S155" s="137">
        <f>_xlfn.XLOOKUP(CONCATENATE(C_S_Digital[[#This Row],[Momento de ejecución]],C_S_Digital[[#This Row],[Forma de ejecución]]),C_Atributos,C_Peso,"",0)</f>
        <v>0.25</v>
      </c>
      <c r="T155" s="141" t="str">
        <f>IFERROR(_xlfn.XLOOKUP(C_S_Digital[[#This Row],[Momento de ejecución]],C_Momento,C_Efecto,,0),"")</f>
        <v>Impacto</v>
      </c>
      <c r="U155" s="143" t="str">
        <f>IFERROR(IF(C_S_Digital[[#This Row],[Código riesgo]]&lt;&gt;C154,_xlfn.XLOOKUP(C155,R_S_Digital[Código Riesgo],#REF!,,0)*IF(C_S_Digital[[#This Row],[Efecto]]="Probabilidad",1-C_S_Digital[[#This Row],[Peso]],1),IF(C_S_Digital[[#This Row],[Efecto]]="Probabilidad",U154*(1-C_S_Digital[[#This Row],[Peso]]),U154)),"")</f>
        <v/>
      </c>
      <c r="V155" s="144" t="str">
        <f>IFERROR(IF(C_S_Digital[[#This Row],[Código riesgo]]&lt;&gt;C154,_xlfn.XLOOKUP(C_S_Digital[[#This Row],[Código riesgo]],R_S_Digital[Código Riesgo],#REF!,,0)*IF(C_S_Digital[[#This Row],[Efecto]]="Impacto",1-C_S_Digital[[#This Row],[Peso]],1),IF(C_S_Digital[[#This Row],[Efecto]]="Impacto",V154*(1-C_S_Digital[[#This Row],[Peso]]),V154)),"")</f>
        <v/>
      </c>
    </row>
    <row r="156" spans="1:22" x14ac:dyDescent="0.25">
      <c r="A156" s="3">
        <v>151</v>
      </c>
      <c r="B156" s="85">
        <f>Mapa_RSD!B134</f>
        <v>0</v>
      </c>
      <c r="C156" s="136" t="e">
        <f>+R_S_Digital[[#This Row],[Código Riesgo]]</f>
        <v>#VALUE!</v>
      </c>
      <c r="D156" s="2"/>
      <c r="E156" s="141" t="str">
        <f>IF(C_S_Digital[[#This Row],[Responsable de ejecutar]]&lt;&gt;"",CONCATENATE(C_S_Digital[[#This Row],[Código riesgo]],"-",IF(C_S_Digital[[#This Row],[Código riesgo]]&lt;&gt;C155,1,RIGHT(E155,1)+1)),"")</f>
        <v/>
      </c>
      <c r="F156" s="147"/>
      <c r="G156" s="147"/>
      <c r="H156" s="147"/>
      <c r="I156" s="141" t="s">
        <v>105</v>
      </c>
      <c r="J156" s="141" t="s">
        <v>65</v>
      </c>
      <c r="K156" s="3"/>
      <c r="L156" s="3"/>
      <c r="M156" s="3"/>
      <c r="N156" s="3"/>
      <c r="O156" s="2"/>
      <c r="Q156" s="148"/>
      <c r="R156" s="148"/>
      <c r="S156" s="137">
        <f>_xlfn.XLOOKUP(CONCATENATE(C_S_Digital[[#This Row],[Momento de ejecución]],C_S_Digital[[#This Row],[Forma de ejecución]]),C_Atributos,C_Peso,"",0)</f>
        <v>0.25</v>
      </c>
      <c r="T156" s="141" t="str">
        <f>IFERROR(_xlfn.XLOOKUP(C_S_Digital[[#This Row],[Momento de ejecución]],C_Momento,C_Efecto,,0),"")</f>
        <v>Impacto</v>
      </c>
      <c r="U156" s="143" t="str">
        <f>IFERROR(IF(C_S_Digital[[#This Row],[Código riesgo]]&lt;&gt;C155,_xlfn.XLOOKUP(C156,R_S_Digital[Código Riesgo],#REF!,,0)*IF(C_S_Digital[[#This Row],[Efecto]]="Probabilidad",1-C_S_Digital[[#This Row],[Peso]],1),IF(C_S_Digital[[#This Row],[Efecto]]="Probabilidad",U155*(1-C_S_Digital[[#This Row],[Peso]]),U155)),"")</f>
        <v/>
      </c>
      <c r="V156" s="144" t="str">
        <f>IFERROR(IF(C_S_Digital[[#This Row],[Código riesgo]]&lt;&gt;C155,_xlfn.XLOOKUP(C_S_Digital[[#This Row],[Código riesgo]],R_S_Digital[Código Riesgo],#REF!,,0)*IF(C_S_Digital[[#This Row],[Efecto]]="Impacto",1-C_S_Digital[[#This Row],[Peso]],1),IF(C_S_Digital[[#This Row],[Efecto]]="Impacto",V155*(1-C_S_Digital[[#This Row],[Peso]]),V155)),"")</f>
        <v/>
      </c>
    </row>
    <row r="157" spans="1:22" x14ac:dyDescent="0.25">
      <c r="A157" s="3">
        <v>152</v>
      </c>
      <c r="B157" s="85">
        <f>Mapa_RSD!B135</f>
        <v>0</v>
      </c>
      <c r="C157" s="136" t="e">
        <f>+R_S_Digital[[#This Row],[Código Riesgo]]</f>
        <v>#VALUE!</v>
      </c>
      <c r="D157" s="2"/>
      <c r="E157" s="141" t="str">
        <f>IF(C_S_Digital[[#This Row],[Responsable de ejecutar]]&lt;&gt;"",CONCATENATE(C_S_Digital[[#This Row],[Código riesgo]],"-",IF(C_S_Digital[[#This Row],[Código riesgo]]&lt;&gt;C156,1,RIGHT(E156,1)+1)),"")</f>
        <v/>
      </c>
      <c r="F157" s="147"/>
      <c r="G157" s="147"/>
      <c r="H157" s="147"/>
      <c r="I157" s="141" t="s">
        <v>105</v>
      </c>
      <c r="J157" s="141" t="s">
        <v>65</v>
      </c>
      <c r="K157" s="3"/>
      <c r="L157" s="3"/>
      <c r="M157" s="3"/>
      <c r="N157" s="3"/>
      <c r="O157" s="2"/>
      <c r="Q157" s="148"/>
      <c r="R157" s="148"/>
      <c r="S157" s="137">
        <f>_xlfn.XLOOKUP(CONCATENATE(C_S_Digital[[#This Row],[Momento de ejecución]],C_S_Digital[[#This Row],[Forma de ejecución]]),C_Atributos,C_Peso,"",0)</f>
        <v>0.25</v>
      </c>
      <c r="T157" s="141" t="str">
        <f>IFERROR(_xlfn.XLOOKUP(C_S_Digital[[#This Row],[Momento de ejecución]],C_Momento,C_Efecto,,0),"")</f>
        <v>Impacto</v>
      </c>
      <c r="U157" s="143" t="str">
        <f>IFERROR(IF(C_S_Digital[[#This Row],[Código riesgo]]&lt;&gt;C156,_xlfn.XLOOKUP(C157,R_S_Digital[Código Riesgo],#REF!,,0)*IF(C_S_Digital[[#This Row],[Efecto]]="Probabilidad",1-C_S_Digital[[#This Row],[Peso]],1),IF(C_S_Digital[[#This Row],[Efecto]]="Probabilidad",U156*(1-C_S_Digital[[#This Row],[Peso]]),U156)),"")</f>
        <v/>
      </c>
      <c r="V157" s="144" t="str">
        <f>IFERROR(IF(C_S_Digital[[#This Row],[Código riesgo]]&lt;&gt;C156,_xlfn.XLOOKUP(C_S_Digital[[#This Row],[Código riesgo]],R_S_Digital[Código Riesgo],#REF!,,0)*IF(C_S_Digital[[#This Row],[Efecto]]="Impacto",1-C_S_Digital[[#This Row],[Peso]],1),IF(C_S_Digital[[#This Row],[Efecto]]="Impacto",V156*(1-C_S_Digital[[#This Row],[Peso]]),V156)),"")</f>
        <v/>
      </c>
    </row>
    <row r="158" spans="1:22" x14ac:dyDescent="0.25">
      <c r="A158" s="3">
        <v>153</v>
      </c>
      <c r="B158" s="85">
        <f>Mapa_RSD!B136</f>
        <v>0</v>
      </c>
      <c r="C158" s="136" t="e">
        <f>+R_S_Digital[[#This Row],[Código Riesgo]]</f>
        <v>#VALUE!</v>
      </c>
      <c r="D158" s="2"/>
      <c r="E158" s="141" t="str">
        <f>IF(C_S_Digital[[#This Row],[Responsable de ejecutar]]&lt;&gt;"",CONCATENATE(C_S_Digital[[#This Row],[Código riesgo]],"-",IF(C_S_Digital[[#This Row],[Código riesgo]]&lt;&gt;C157,1,RIGHT(E157,1)+1)),"")</f>
        <v/>
      </c>
      <c r="F158" s="147"/>
      <c r="G158" s="147"/>
      <c r="H158" s="147"/>
      <c r="I158" s="141" t="s">
        <v>105</v>
      </c>
      <c r="J158" s="141" t="s">
        <v>65</v>
      </c>
      <c r="K158" s="3"/>
      <c r="L158" s="3"/>
      <c r="M158" s="3"/>
      <c r="N158" s="3"/>
      <c r="O158" s="2"/>
      <c r="Q158" s="148"/>
      <c r="R158" s="148"/>
      <c r="S158" s="137">
        <f>_xlfn.XLOOKUP(CONCATENATE(C_S_Digital[[#This Row],[Momento de ejecución]],C_S_Digital[[#This Row],[Forma de ejecución]]),C_Atributos,C_Peso,"",0)</f>
        <v>0.25</v>
      </c>
      <c r="T158" s="141" t="str">
        <f>IFERROR(_xlfn.XLOOKUP(C_S_Digital[[#This Row],[Momento de ejecución]],C_Momento,C_Efecto,,0),"")</f>
        <v>Impacto</v>
      </c>
      <c r="U158" s="143" t="str">
        <f>IFERROR(IF(C_S_Digital[[#This Row],[Código riesgo]]&lt;&gt;C157,_xlfn.XLOOKUP(C158,R_S_Digital[Código Riesgo],#REF!,,0)*IF(C_S_Digital[[#This Row],[Efecto]]="Probabilidad",1-C_S_Digital[[#This Row],[Peso]],1),IF(C_S_Digital[[#This Row],[Efecto]]="Probabilidad",U157*(1-C_S_Digital[[#This Row],[Peso]]),U157)),"")</f>
        <v/>
      </c>
      <c r="V158" s="144" t="str">
        <f>IFERROR(IF(C_S_Digital[[#This Row],[Código riesgo]]&lt;&gt;C157,_xlfn.XLOOKUP(C_S_Digital[[#This Row],[Código riesgo]],R_S_Digital[Código Riesgo],#REF!,,0)*IF(C_S_Digital[[#This Row],[Efecto]]="Impacto",1-C_S_Digital[[#This Row],[Peso]],1),IF(C_S_Digital[[#This Row],[Efecto]]="Impacto",V157*(1-C_S_Digital[[#This Row],[Peso]]),V157)),"")</f>
        <v/>
      </c>
    </row>
    <row r="159" spans="1:22" x14ac:dyDescent="0.25">
      <c r="A159" s="3">
        <v>154</v>
      </c>
      <c r="B159" s="85">
        <f>Mapa_RSD!B137</f>
        <v>0</v>
      </c>
      <c r="C159" s="136" t="e">
        <f>+R_S_Digital[[#This Row],[Código Riesgo]]</f>
        <v>#VALUE!</v>
      </c>
      <c r="D159" s="2"/>
      <c r="E159" s="141" t="str">
        <f>IF(C_S_Digital[[#This Row],[Responsable de ejecutar]]&lt;&gt;"",CONCATENATE(C_S_Digital[[#This Row],[Código riesgo]],"-",IF(C_S_Digital[[#This Row],[Código riesgo]]&lt;&gt;C158,1,RIGHT(E158,1)+1)),"")</f>
        <v/>
      </c>
      <c r="F159" s="147"/>
      <c r="G159" s="147"/>
      <c r="H159" s="147"/>
      <c r="I159" s="141" t="s">
        <v>105</v>
      </c>
      <c r="J159" s="141" t="s">
        <v>65</v>
      </c>
      <c r="K159" s="3"/>
      <c r="L159" s="3"/>
      <c r="M159" s="3"/>
      <c r="N159" s="3"/>
      <c r="O159" s="2"/>
      <c r="Q159" s="148"/>
      <c r="R159" s="148"/>
      <c r="S159" s="137">
        <f>_xlfn.XLOOKUP(CONCATENATE(C_S_Digital[[#This Row],[Momento de ejecución]],C_S_Digital[[#This Row],[Forma de ejecución]]),C_Atributos,C_Peso,"",0)</f>
        <v>0.25</v>
      </c>
      <c r="T159" s="141" t="str">
        <f>IFERROR(_xlfn.XLOOKUP(C_S_Digital[[#This Row],[Momento de ejecución]],C_Momento,C_Efecto,,0),"")</f>
        <v>Impacto</v>
      </c>
      <c r="U159" s="143" t="str">
        <f>IFERROR(IF(C_S_Digital[[#This Row],[Código riesgo]]&lt;&gt;C158,_xlfn.XLOOKUP(C159,R_S_Digital[Código Riesgo],#REF!,,0)*IF(C_S_Digital[[#This Row],[Efecto]]="Probabilidad",1-C_S_Digital[[#This Row],[Peso]],1),IF(C_S_Digital[[#This Row],[Efecto]]="Probabilidad",U158*(1-C_S_Digital[[#This Row],[Peso]]),U158)),"")</f>
        <v/>
      </c>
      <c r="V159" s="144" t="str">
        <f>IFERROR(IF(C_S_Digital[[#This Row],[Código riesgo]]&lt;&gt;C158,_xlfn.XLOOKUP(C_S_Digital[[#This Row],[Código riesgo]],R_S_Digital[Código Riesgo],#REF!,,0)*IF(C_S_Digital[[#This Row],[Efecto]]="Impacto",1-C_S_Digital[[#This Row],[Peso]],1),IF(C_S_Digital[[#This Row],[Efecto]]="Impacto",V158*(1-C_S_Digital[[#This Row],[Peso]]),V158)),"")</f>
        <v/>
      </c>
    </row>
    <row r="160" spans="1:22" x14ac:dyDescent="0.25">
      <c r="A160" s="3">
        <v>155</v>
      </c>
      <c r="B160" s="85">
        <f>Mapa_RSD!B138</f>
        <v>0</v>
      </c>
      <c r="C160" s="136" t="e">
        <f>+R_S_Digital[[#This Row],[Código Riesgo]]</f>
        <v>#VALUE!</v>
      </c>
      <c r="D160" s="2"/>
      <c r="E160" s="141" t="str">
        <f>IF(C_S_Digital[[#This Row],[Responsable de ejecutar]]&lt;&gt;"",CONCATENATE(C_S_Digital[[#This Row],[Código riesgo]],"-",IF(C_S_Digital[[#This Row],[Código riesgo]]&lt;&gt;C159,1,RIGHT(E159,1)+1)),"")</f>
        <v/>
      </c>
      <c r="F160" s="147"/>
      <c r="G160" s="147"/>
      <c r="H160" s="147"/>
      <c r="I160" s="141" t="s">
        <v>105</v>
      </c>
      <c r="J160" s="141" t="s">
        <v>65</v>
      </c>
      <c r="K160" s="3"/>
      <c r="L160" s="3"/>
      <c r="M160" s="3"/>
      <c r="N160" s="3"/>
      <c r="O160" s="2"/>
      <c r="Q160" s="148"/>
      <c r="R160" s="148"/>
      <c r="S160" s="137">
        <f>_xlfn.XLOOKUP(CONCATENATE(C_S_Digital[[#This Row],[Momento de ejecución]],C_S_Digital[[#This Row],[Forma de ejecución]]),C_Atributos,C_Peso,"",0)</f>
        <v>0.25</v>
      </c>
      <c r="T160" s="141" t="str">
        <f>IFERROR(_xlfn.XLOOKUP(C_S_Digital[[#This Row],[Momento de ejecución]],C_Momento,C_Efecto,,0),"")</f>
        <v>Impacto</v>
      </c>
      <c r="U160" s="143" t="str">
        <f>IFERROR(IF(C_S_Digital[[#This Row],[Código riesgo]]&lt;&gt;C159,_xlfn.XLOOKUP(C160,R_S_Digital[Código Riesgo],#REF!,,0)*IF(C_S_Digital[[#This Row],[Efecto]]="Probabilidad",1-C_S_Digital[[#This Row],[Peso]],1),IF(C_S_Digital[[#This Row],[Efecto]]="Probabilidad",U159*(1-C_S_Digital[[#This Row],[Peso]]),U159)),"")</f>
        <v/>
      </c>
      <c r="V160" s="144" t="str">
        <f>IFERROR(IF(C_S_Digital[[#This Row],[Código riesgo]]&lt;&gt;C159,_xlfn.XLOOKUP(C_S_Digital[[#This Row],[Código riesgo]],R_S_Digital[Código Riesgo],#REF!,,0)*IF(C_S_Digital[[#This Row],[Efecto]]="Impacto",1-C_S_Digital[[#This Row],[Peso]],1),IF(C_S_Digital[[#This Row],[Efecto]]="Impacto",V159*(1-C_S_Digital[[#This Row],[Peso]]),V159)),"")</f>
        <v/>
      </c>
    </row>
    <row r="161" spans="1:22" x14ac:dyDescent="0.25">
      <c r="A161" s="3">
        <v>156</v>
      </c>
      <c r="B161" s="85">
        <f>Mapa_RSD!B139</f>
        <v>0</v>
      </c>
      <c r="C161" s="136" t="e">
        <f>+R_S_Digital[[#This Row],[Código Riesgo]]</f>
        <v>#VALUE!</v>
      </c>
      <c r="D161" s="2"/>
      <c r="E161" s="141" t="str">
        <f>IF(C_S_Digital[[#This Row],[Responsable de ejecutar]]&lt;&gt;"",CONCATENATE(C_S_Digital[[#This Row],[Código riesgo]],"-",IF(C_S_Digital[[#This Row],[Código riesgo]]&lt;&gt;C160,1,RIGHT(E160,1)+1)),"")</f>
        <v/>
      </c>
      <c r="F161" s="147"/>
      <c r="G161" s="147"/>
      <c r="H161" s="147"/>
      <c r="I161" s="141" t="s">
        <v>105</v>
      </c>
      <c r="J161" s="141" t="s">
        <v>65</v>
      </c>
      <c r="K161" s="3"/>
      <c r="L161" s="3"/>
      <c r="M161" s="3"/>
      <c r="N161" s="3"/>
      <c r="O161" s="2"/>
      <c r="Q161" s="148"/>
      <c r="R161" s="148"/>
      <c r="S161" s="137">
        <f>_xlfn.XLOOKUP(CONCATENATE(C_S_Digital[[#This Row],[Momento de ejecución]],C_S_Digital[[#This Row],[Forma de ejecución]]),C_Atributos,C_Peso,"",0)</f>
        <v>0.25</v>
      </c>
      <c r="T161" s="141" t="str">
        <f>IFERROR(_xlfn.XLOOKUP(C_S_Digital[[#This Row],[Momento de ejecución]],C_Momento,C_Efecto,,0),"")</f>
        <v>Impacto</v>
      </c>
      <c r="U161" s="143" t="str">
        <f>IFERROR(IF(C_S_Digital[[#This Row],[Código riesgo]]&lt;&gt;C160,_xlfn.XLOOKUP(C161,R_S_Digital[Código Riesgo],#REF!,,0)*IF(C_S_Digital[[#This Row],[Efecto]]="Probabilidad",1-C_S_Digital[[#This Row],[Peso]],1),IF(C_S_Digital[[#This Row],[Efecto]]="Probabilidad",U160*(1-C_S_Digital[[#This Row],[Peso]]),U160)),"")</f>
        <v/>
      </c>
      <c r="V161" s="144" t="str">
        <f>IFERROR(IF(C_S_Digital[[#This Row],[Código riesgo]]&lt;&gt;C160,_xlfn.XLOOKUP(C_S_Digital[[#This Row],[Código riesgo]],R_S_Digital[Código Riesgo],#REF!,,0)*IF(C_S_Digital[[#This Row],[Efecto]]="Impacto",1-C_S_Digital[[#This Row],[Peso]],1),IF(C_S_Digital[[#This Row],[Efecto]]="Impacto",V160*(1-C_S_Digital[[#This Row],[Peso]]),V160)),"")</f>
        <v/>
      </c>
    </row>
    <row r="162" spans="1:22" x14ac:dyDescent="0.25">
      <c r="A162" s="3">
        <v>157</v>
      </c>
      <c r="B162" s="85">
        <f>Mapa_RSD!B140</f>
        <v>0</v>
      </c>
      <c r="C162" s="136" t="e">
        <f>+R_S_Digital[[#This Row],[Código Riesgo]]</f>
        <v>#VALUE!</v>
      </c>
      <c r="D162" s="2"/>
      <c r="E162" s="141" t="str">
        <f>IF(C_S_Digital[[#This Row],[Responsable de ejecutar]]&lt;&gt;"",CONCATENATE(C_S_Digital[[#This Row],[Código riesgo]],"-",IF(C_S_Digital[[#This Row],[Código riesgo]]&lt;&gt;C161,1,RIGHT(E161,1)+1)),"")</f>
        <v/>
      </c>
      <c r="F162" s="147"/>
      <c r="G162" s="147"/>
      <c r="H162" s="147"/>
      <c r="I162" s="141" t="s">
        <v>105</v>
      </c>
      <c r="J162" s="141" t="s">
        <v>65</v>
      </c>
      <c r="K162" s="3"/>
      <c r="L162" s="3"/>
      <c r="M162" s="3"/>
      <c r="N162" s="3"/>
      <c r="O162" s="2"/>
      <c r="Q162" s="148"/>
      <c r="R162" s="148"/>
      <c r="S162" s="137">
        <f>_xlfn.XLOOKUP(CONCATENATE(C_S_Digital[[#This Row],[Momento de ejecución]],C_S_Digital[[#This Row],[Forma de ejecución]]),C_Atributos,C_Peso,"",0)</f>
        <v>0.25</v>
      </c>
      <c r="T162" s="141" t="str">
        <f>IFERROR(_xlfn.XLOOKUP(C_S_Digital[[#This Row],[Momento de ejecución]],C_Momento,C_Efecto,,0),"")</f>
        <v>Impacto</v>
      </c>
      <c r="U162" s="143" t="str">
        <f>IFERROR(IF(C_S_Digital[[#This Row],[Código riesgo]]&lt;&gt;C161,_xlfn.XLOOKUP(C162,R_S_Digital[Código Riesgo],#REF!,,0)*IF(C_S_Digital[[#This Row],[Efecto]]="Probabilidad",1-C_S_Digital[[#This Row],[Peso]],1),IF(C_S_Digital[[#This Row],[Efecto]]="Probabilidad",U161*(1-C_S_Digital[[#This Row],[Peso]]),U161)),"")</f>
        <v/>
      </c>
      <c r="V162" s="144" t="str">
        <f>IFERROR(IF(C_S_Digital[[#This Row],[Código riesgo]]&lt;&gt;C161,_xlfn.XLOOKUP(C_S_Digital[[#This Row],[Código riesgo]],R_S_Digital[Código Riesgo],#REF!,,0)*IF(C_S_Digital[[#This Row],[Efecto]]="Impacto",1-C_S_Digital[[#This Row],[Peso]],1),IF(C_S_Digital[[#This Row],[Efecto]]="Impacto",V161*(1-C_S_Digital[[#This Row],[Peso]]),V161)),"")</f>
        <v/>
      </c>
    </row>
    <row r="163" spans="1:22" x14ac:dyDescent="0.25">
      <c r="A163" s="3">
        <v>158</v>
      </c>
      <c r="B163" s="85">
        <f>Mapa_RSD!B141</f>
        <v>0</v>
      </c>
      <c r="C163" s="136" t="e">
        <f>+R_S_Digital[[#This Row],[Código Riesgo]]</f>
        <v>#VALUE!</v>
      </c>
      <c r="D163" s="2"/>
      <c r="E163" s="141" t="str">
        <f>IF(C_S_Digital[[#This Row],[Responsable de ejecutar]]&lt;&gt;"",CONCATENATE(C_S_Digital[[#This Row],[Código riesgo]],"-",IF(C_S_Digital[[#This Row],[Código riesgo]]&lt;&gt;C162,1,RIGHT(E162,1)+1)),"")</f>
        <v/>
      </c>
      <c r="F163" s="147"/>
      <c r="G163" s="147"/>
      <c r="H163" s="147"/>
      <c r="I163" s="141" t="s">
        <v>105</v>
      </c>
      <c r="J163" s="141" t="s">
        <v>65</v>
      </c>
      <c r="K163" s="3"/>
      <c r="L163" s="3"/>
      <c r="M163" s="3"/>
      <c r="N163" s="3"/>
      <c r="O163" s="2"/>
      <c r="Q163" s="148"/>
      <c r="R163" s="148"/>
      <c r="S163" s="137">
        <f>_xlfn.XLOOKUP(CONCATENATE(C_S_Digital[[#This Row],[Momento de ejecución]],C_S_Digital[[#This Row],[Forma de ejecución]]),C_Atributos,C_Peso,"",0)</f>
        <v>0.25</v>
      </c>
      <c r="T163" s="141" t="str">
        <f>IFERROR(_xlfn.XLOOKUP(C_S_Digital[[#This Row],[Momento de ejecución]],C_Momento,C_Efecto,,0),"")</f>
        <v>Impacto</v>
      </c>
      <c r="U163" s="143" t="str">
        <f>IFERROR(IF(C_S_Digital[[#This Row],[Código riesgo]]&lt;&gt;C162,_xlfn.XLOOKUP(C163,R_S_Digital[Código Riesgo],#REF!,,0)*IF(C_S_Digital[[#This Row],[Efecto]]="Probabilidad",1-C_S_Digital[[#This Row],[Peso]],1),IF(C_S_Digital[[#This Row],[Efecto]]="Probabilidad",U162*(1-C_S_Digital[[#This Row],[Peso]]),U162)),"")</f>
        <v/>
      </c>
      <c r="V163" s="144" t="str">
        <f>IFERROR(IF(C_S_Digital[[#This Row],[Código riesgo]]&lt;&gt;C162,_xlfn.XLOOKUP(C_S_Digital[[#This Row],[Código riesgo]],R_S_Digital[Código Riesgo],#REF!,,0)*IF(C_S_Digital[[#This Row],[Efecto]]="Impacto",1-C_S_Digital[[#This Row],[Peso]],1),IF(C_S_Digital[[#This Row],[Efecto]]="Impacto",V162*(1-C_S_Digital[[#This Row],[Peso]]),V162)),"")</f>
        <v/>
      </c>
    </row>
    <row r="164" spans="1:22" x14ac:dyDescent="0.25">
      <c r="A164" s="3">
        <v>159</v>
      </c>
      <c r="B164" s="85">
        <f>Mapa_RSD!B142</f>
        <v>0</v>
      </c>
      <c r="C164" s="136" t="e">
        <f>+R_S_Digital[[#This Row],[Código Riesgo]]</f>
        <v>#VALUE!</v>
      </c>
      <c r="D164" s="2"/>
      <c r="E164" s="141" t="str">
        <f>IF(C_S_Digital[[#This Row],[Responsable de ejecutar]]&lt;&gt;"",CONCATENATE(C_S_Digital[[#This Row],[Código riesgo]],"-",IF(C_S_Digital[[#This Row],[Código riesgo]]&lt;&gt;C163,1,RIGHT(E163,1)+1)),"")</f>
        <v/>
      </c>
      <c r="F164" s="147"/>
      <c r="G164" s="147"/>
      <c r="H164" s="147"/>
      <c r="I164" s="141" t="s">
        <v>105</v>
      </c>
      <c r="J164" s="141" t="s">
        <v>65</v>
      </c>
      <c r="K164" s="3"/>
      <c r="L164" s="3"/>
      <c r="M164" s="3"/>
      <c r="N164" s="3"/>
      <c r="O164" s="2"/>
      <c r="Q164" s="148"/>
      <c r="R164" s="148"/>
      <c r="S164" s="137">
        <f>_xlfn.XLOOKUP(CONCATENATE(C_S_Digital[[#This Row],[Momento de ejecución]],C_S_Digital[[#This Row],[Forma de ejecución]]),C_Atributos,C_Peso,"",0)</f>
        <v>0.25</v>
      </c>
      <c r="T164" s="141" t="str">
        <f>IFERROR(_xlfn.XLOOKUP(C_S_Digital[[#This Row],[Momento de ejecución]],C_Momento,C_Efecto,,0),"")</f>
        <v>Impacto</v>
      </c>
      <c r="U164" s="143" t="str">
        <f>IFERROR(IF(C_S_Digital[[#This Row],[Código riesgo]]&lt;&gt;C163,_xlfn.XLOOKUP(C164,R_S_Digital[Código Riesgo],#REF!,,0)*IF(C_S_Digital[[#This Row],[Efecto]]="Probabilidad",1-C_S_Digital[[#This Row],[Peso]],1),IF(C_S_Digital[[#This Row],[Efecto]]="Probabilidad",U163*(1-C_S_Digital[[#This Row],[Peso]]),U163)),"")</f>
        <v/>
      </c>
      <c r="V164" s="144" t="str">
        <f>IFERROR(IF(C_S_Digital[[#This Row],[Código riesgo]]&lt;&gt;C163,_xlfn.XLOOKUP(C_S_Digital[[#This Row],[Código riesgo]],R_S_Digital[Código Riesgo],#REF!,,0)*IF(C_S_Digital[[#This Row],[Efecto]]="Impacto",1-C_S_Digital[[#This Row],[Peso]],1),IF(C_S_Digital[[#This Row],[Efecto]]="Impacto",V163*(1-C_S_Digital[[#This Row],[Peso]]),V163)),"")</f>
        <v/>
      </c>
    </row>
    <row r="165" spans="1:22" x14ac:dyDescent="0.25">
      <c r="A165" s="3">
        <v>160</v>
      </c>
      <c r="B165" s="85">
        <f>Mapa_RSD!B143</f>
        <v>0</v>
      </c>
      <c r="C165" s="136" t="e">
        <f>+R_S_Digital[[#This Row],[Código Riesgo]]</f>
        <v>#VALUE!</v>
      </c>
      <c r="D165" s="2"/>
      <c r="E165" s="141" t="str">
        <f>IF(C_S_Digital[[#This Row],[Responsable de ejecutar]]&lt;&gt;"",CONCATENATE(C_S_Digital[[#This Row],[Código riesgo]],"-",IF(C_S_Digital[[#This Row],[Código riesgo]]&lt;&gt;C164,1,RIGHT(E164,1)+1)),"")</f>
        <v/>
      </c>
      <c r="F165" s="147"/>
      <c r="G165" s="147"/>
      <c r="H165" s="147"/>
      <c r="I165" s="141" t="s">
        <v>105</v>
      </c>
      <c r="J165" s="141" t="s">
        <v>65</v>
      </c>
      <c r="K165" s="3"/>
      <c r="L165" s="3"/>
      <c r="M165" s="3"/>
      <c r="N165" s="3"/>
      <c r="O165" s="2"/>
      <c r="Q165" s="148"/>
      <c r="R165" s="148"/>
      <c r="S165" s="137">
        <f>_xlfn.XLOOKUP(CONCATENATE(C_S_Digital[[#This Row],[Momento de ejecución]],C_S_Digital[[#This Row],[Forma de ejecución]]),C_Atributos,C_Peso,"",0)</f>
        <v>0.25</v>
      </c>
      <c r="T165" s="141" t="str">
        <f>IFERROR(_xlfn.XLOOKUP(C_S_Digital[[#This Row],[Momento de ejecución]],C_Momento,C_Efecto,,0),"")</f>
        <v>Impacto</v>
      </c>
      <c r="U165" s="143" t="str">
        <f>IFERROR(IF(C_S_Digital[[#This Row],[Código riesgo]]&lt;&gt;C164,_xlfn.XLOOKUP(C165,R_S_Digital[Código Riesgo],#REF!,,0)*IF(C_S_Digital[[#This Row],[Efecto]]="Probabilidad",1-C_S_Digital[[#This Row],[Peso]],1),IF(C_S_Digital[[#This Row],[Efecto]]="Probabilidad",U164*(1-C_S_Digital[[#This Row],[Peso]]),U164)),"")</f>
        <v/>
      </c>
      <c r="V165" s="144" t="str">
        <f>IFERROR(IF(C_S_Digital[[#This Row],[Código riesgo]]&lt;&gt;C164,_xlfn.XLOOKUP(C_S_Digital[[#This Row],[Código riesgo]],R_S_Digital[Código Riesgo],#REF!,,0)*IF(C_S_Digital[[#This Row],[Efecto]]="Impacto",1-C_S_Digital[[#This Row],[Peso]],1),IF(C_S_Digital[[#This Row],[Efecto]]="Impacto",V164*(1-C_S_Digital[[#This Row],[Peso]]),V164)),"")</f>
        <v/>
      </c>
    </row>
    <row r="166" spans="1:22" x14ac:dyDescent="0.25">
      <c r="A166" s="3">
        <v>161</v>
      </c>
      <c r="B166" s="85">
        <f>Mapa_RSD!B144</f>
        <v>0</v>
      </c>
      <c r="C166" s="136" t="e">
        <f>+R_S_Digital[[#This Row],[Código Riesgo]]</f>
        <v>#VALUE!</v>
      </c>
      <c r="D166" s="2"/>
      <c r="E166" s="141" t="str">
        <f>IF(C_S_Digital[[#This Row],[Responsable de ejecutar]]&lt;&gt;"",CONCATENATE(C_S_Digital[[#This Row],[Código riesgo]],"-",IF(C_S_Digital[[#This Row],[Código riesgo]]&lt;&gt;C165,1,RIGHT(E165,1)+1)),"")</f>
        <v/>
      </c>
      <c r="F166" s="147"/>
      <c r="G166" s="147"/>
      <c r="H166" s="147"/>
      <c r="I166" s="141" t="s">
        <v>105</v>
      </c>
      <c r="J166" s="141" t="s">
        <v>65</v>
      </c>
      <c r="K166" s="3"/>
      <c r="L166" s="3"/>
      <c r="M166" s="3"/>
      <c r="N166" s="3"/>
      <c r="O166" s="2"/>
      <c r="Q166" s="148"/>
      <c r="R166" s="148"/>
      <c r="S166" s="137">
        <f>_xlfn.XLOOKUP(CONCATENATE(C_S_Digital[[#This Row],[Momento de ejecución]],C_S_Digital[[#This Row],[Forma de ejecución]]),C_Atributos,C_Peso,"",0)</f>
        <v>0.25</v>
      </c>
      <c r="T166" s="141" t="str">
        <f>IFERROR(_xlfn.XLOOKUP(C_S_Digital[[#This Row],[Momento de ejecución]],C_Momento,C_Efecto,,0),"")</f>
        <v>Impacto</v>
      </c>
      <c r="U166" s="143" t="str">
        <f>IFERROR(IF(C_S_Digital[[#This Row],[Código riesgo]]&lt;&gt;C165,_xlfn.XLOOKUP(C166,R_S_Digital[Código Riesgo],#REF!,,0)*IF(C_S_Digital[[#This Row],[Efecto]]="Probabilidad",1-C_S_Digital[[#This Row],[Peso]],1),IF(C_S_Digital[[#This Row],[Efecto]]="Probabilidad",U165*(1-C_S_Digital[[#This Row],[Peso]]),U165)),"")</f>
        <v/>
      </c>
      <c r="V166" s="144" t="str">
        <f>IFERROR(IF(C_S_Digital[[#This Row],[Código riesgo]]&lt;&gt;C165,_xlfn.XLOOKUP(C_S_Digital[[#This Row],[Código riesgo]],R_S_Digital[Código Riesgo],#REF!,,0)*IF(C_S_Digital[[#This Row],[Efecto]]="Impacto",1-C_S_Digital[[#This Row],[Peso]],1),IF(C_S_Digital[[#This Row],[Efecto]]="Impacto",V165*(1-C_S_Digital[[#This Row],[Peso]]),V165)),"")</f>
        <v/>
      </c>
    </row>
    <row r="167" spans="1:22" x14ac:dyDescent="0.25">
      <c r="A167" s="3">
        <v>162</v>
      </c>
      <c r="B167" s="85">
        <f>Mapa_RSD!B145</f>
        <v>0</v>
      </c>
      <c r="C167" s="136" t="e">
        <f>+R_S_Digital[[#This Row],[Código Riesgo]]</f>
        <v>#VALUE!</v>
      </c>
      <c r="D167" s="2"/>
      <c r="E167" s="141" t="str">
        <f>IF(C_S_Digital[[#This Row],[Responsable de ejecutar]]&lt;&gt;"",CONCATENATE(C_S_Digital[[#This Row],[Código riesgo]],"-",IF(C_S_Digital[[#This Row],[Código riesgo]]&lt;&gt;C166,1,RIGHT(E166,1)+1)),"")</f>
        <v/>
      </c>
      <c r="F167" s="147"/>
      <c r="G167" s="147"/>
      <c r="H167" s="147"/>
      <c r="I167" s="141" t="s">
        <v>105</v>
      </c>
      <c r="J167" s="141" t="s">
        <v>65</v>
      </c>
      <c r="K167" s="3"/>
      <c r="L167" s="3"/>
      <c r="M167" s="3"/>
      <c r="N167" s="3"/>
      <c r="O167" s="2"/>
      <c r="Q167" s="148"/>
      <c r="R167" s="148"/>
      <c r="S167" s="137">
        <f>_xlfn.XLOOKUP(CONCATENATE(C_S_Digital[[#This Row],[Momento de ejecución]],C_S_Digital[[#This Row],[Forma de ejecución]]),C_Atributos,C_Peso,"",0)</f>
        <v>0.25</v>
      </c>
      <c r="T167" s="141" t="str">
        <f>IFERROR(_xlfn.XLOOKUP(C_S_Digital[[#This Row],[Momento de ejecución]],C_Momento,C_Efecto,,0),"")</f>
        <v>Impacto</v>
      </c>
      <c r="U167" s="143" t="str">
        <f>IFERROR(IF(C_S_Digital[[#This Row],[Código riesgo]]&lt;&gt;C166,_xlfn.XLOOKUP(C167,R_S_Digital[Código Riesgo],#REF!,,0)*IF(C_S_Digital[[#This Row],[Efecto]]="Probabilidad",1-C_S_Digital[[#This Row],[Peso]],1),IF(C_S_Digital[[#This Row],[Efecto]]="Probabilidad",U166*(1-C_S_Digital[[#This Row],[Peso]]),U166)),"")</f>
        <v/>
      </c>
      <c r="V167" s="144" t="str">
        <f>IFERROR(IF(C_S_Digital[[#This Row],[Código riesgo]]&lt;&gt;C166,_xlfn.XLOOKUP(C_S_Digital[[#This Row],[Código riesgo]],R_S_Digital[Código Riesgo],#REF!,,0)*IF(C_S_Digital[[#This Row],[Efecto]]="Impacto",1-C_S_Digital[[#This Row],[Peso]],1),IF(C_S_Digital[[#This Row],[Efecto]]="Impacto",V166*(1-C_S_Digital[[#This Row],[Peso]]),V166)),"")</f>
        <v/>
      </c>
    </row>
    <row r="168" spans="1:22" x14ac:dyDescent="0.25">
      <c r="A168" s="3">
        <v>163</v>
      </c>
      <c r="B168" s="85">
        <f>Mapa_RSD!B146</f>
        <v>0</v>
      </c>
      <c r="C168" s="136" t="e">
        <f>+R_S_Digital[[#This Row],[Código Riesgo]]</f>
        <v>#VALUE!</v>
      </c>
      <c r="D168" s="2"/>
      <c r="E168" s="141" t="str">
        <f>IF(C_S_Digital[[#This Row],[Responsable de ejecutar]]&lt;&gt;"",CONCATENATE(C_S_Digital[[#This Row],[Código riesgo]],"-",IF(C_S_Digital[[#This Row],[Código riesgo]]&lt;&gt;C167,1,RIGHT(E167,1)+1)),"")</f>
        <v/>
      </c>
      <c r="F168" s="147"/>
      <c r="G168" s="147"/>
      <c r="H168" s="147"/>
      <c r="I168" s="141" t="s">
        <v>105</v>
      </c>
      <c r="J168" s="141" t="s">
        <v>65</v>
      </c>
      <c r="K168" s="3"/>
      <c r="L168" s="3"/>
      <c r="M168" s="3"/>
      <c r="N168" s="3"/>
      <c r="O168" s="2"/>
      <c r="Q168" s="148"/>
      <c r="R168" s="148"/>
      <c r="S168" s="137">
        <f>_xlfn.XLOOKUP(CONCATENATE(C_S_Digital[[#This Row],[Momento de ejecución]],C_S_Digital[[#This Row],[Forma de ejecución]]),C_Atributos,C_Peso,"",0)</f>
        <v>0.25</v>
      </c>
      <c r="T168" s="141" t="str">
        <f>IFERROR(_xlfn.XLOOKUP(C_S_Digital[[#This Row],[Momento de ejecución]],C_Momento,C_Efecto,,0),"")</f>
        <v>Impacto</v>
      </c>
      <c r="U168" s="143" t="str">
        <f>IFERROR(IF(C_S_Digital[[#This Row],[Código riesgo]]&lt;&gt;C167,_xlfn.XLOOKUP(C168,R_S_Digital[Código Riesgo],#REF!,,0)*IF(C_S_Digital[[#This Row],[Efecto]]="Probabilidad",1-C_S_Digital[[#This Row],[Peso]],1),IF(C_S_Digital[[#This Row],[Efecto]]="Probabilidad",U167*(1-C_S_Digital[[#This Row],[Peso]]),U167)),"")</f>
        <v/>
      </c>
      <c r="V168" s="144" t="str">
        <f>IFERROR(IF(C_S_Digital[[#This Row],[Código riesgo]]&lt;&gt;C167,_xlfn.XLOOKUP(C_S_Digital[[#This Row],[Código riesgo]],R_S_Digital[Código Riesgo],#REF!,,0)*IF(C_S_Digital[[#This Row],[Efecto]]="Impacto",1-C_S_Digital[[#This Row],[Peso]],1),IF(C_S_Digital[[#This Row],[Efecto]]="Impacto",V167*(1-C_S_Digital[[#This Row],[Peso]]),V167)),"")</f>
        <v/>
      </c>
    </row>
    <row r="169" spans="1:22" x14ac:dyDescent="0.25">
      <c r="A169" s="3">
        <v>164</v>
      </c>
      <c r="B169" s="85">
        <f>Mapa_RSD!B147</f>
        <v>0</v>
      </c>
      <c r="C169" s="136" t="e">
        <f>+R_S_Digital[[#This Row],[Código Riesgo]]</f>
        <v>#VALUE!</v>
      </c>
      <c r="D169" s="2"/>
      <c r="E169" s="141" t="str">
        <f>IF(C_S_Digital[[#This Row],[Responsable de ejecutar]]&lt;&gt;"",CONCATENATE(C_S_Digital[[#This Row],[Código riesgo]],"-",IF(C_S_Digital[[#This Row],[Código riesgo]]&lt;&gt;C168,1,RIGHT(E168,1)+1)),"")</f>
        <v/>
      </c>
      <c r="F169" s="147"/>
      <c r="G169" s="147"/>
      <c r="H169" s="147"/>
      <c r="I169" s="141" t="s">
        <v>105</v>
      </c>
      <c r="J169" s="141" t="s">
        <v>65</v>
      </c>
      <c r="K169" s="3"/>
      <c r="L169" s="3"/>
      <c r="M169" s="3"/>
      <c r="N169" s="3"/>
      <c r="O169" s="2"/>
      <c r="Q169" s="148"/>
      <c r="R169" s="148"/>
      <c r="S169" s="137">
        <f>_xlfn.XLOOKUP(CONCATENATE(C_S_Digital[[#This Row],[Momento de ejecución]],C_S_Digital[[#This Row],[Forma de ejecución]]),C_Atributos,C_Peso,"",0)</f>
        <v>0.25</v>
      </c>
      <c r="T169" s="141" t="str">
        <f>IFERROR(_xlfn.XLOOKUP(C_S_Digital[[#This Row],[Momento de ejecución]],C_Momento,C_Efecto,,0),"")</f>
        <v>Impacto</v>
      </c>
      <c r="U169" s="143" t="str">
        <f>IFERROR(IF(C_S_Digital[[#This Row],[Código riesgo]]&lt;&gt;C168,_xlfn.XLOOKUP(C169,R_S_Digital[Código Riesgo],#REF!,,0)*IF(C_S_Digital[[#This Row],[Efecto]]="Probabilidad",1-C_S_Digital[[#This Row],[Peso]],1),IF(C_S_Digital[[#This Row],[Efecto]]="Probabilidad",U168*(1-C_S_Digital[[#This Row],[Peso]]),U168)),"")</f>
        <v/>
      </c>
      <c r="V169" s="144" t="str">
        <f>IFERROR(IF(C_S_Digital[[#This Row],[Código riesgo]]&lt;&gt;C168,_xlfn.XLOOKUP(C_S_Digital[[#This Row],[Código riesgo]],R_S_Digital[Código Riesgo],#REF!,,0)*IF(C_S_Digital[[#This Row],[Efecto]]="Impacto",1-C_S_Digital[[#This Row],[Peso]],1),IF(C_S_Digital[[#This Row],[Efecto]]="Impacto",V168*(1-C_S_Digital[[#This Row],[Peso]]),V168)),"")</f>
        <v/>
      </c>
    </row>
    <row r="170" spans="1:22" x14ac:dyDescent="0.25">
      <c r="A170" s="3">
        <v>165</v>
      </c>
      <c r="B170" s="85">
        <f>Mapa_RSD!B148</f>
        <v>0</v>
      </c>
      <c r="C170" s="136" t="e">
        <f>+R_S_Digital[[#This Row],[Código Riesgo]]</f>
        <v>#VALUE!</v>
      </c>
      <c r="D170" s="2"/>
      <c r="E170" s="141" t="str">
        <f>IF(C_S_Digital[[#This Row],[Responsable de ejecutar]]&lt;&gt;"",CONCATENATE(C_S_Digital[[#This Row],[Código riesgo]],"-",IF(C_S_Digital[[#This Row],[Código riesgo]]&lt;&gt;C169,1,RIGHT(E169,1)+1)),"")</f>
        <v/>
      </c>
      <c r="F170" s="147"/>
      <c r="G170" s="147"/>
      <c r="H170" s="147"/>
      <c r="I170" s="141" t="s">
        <v>105</v>
      </c>
      <c r="J170" s="141" t="s">
        <v>65</v>
      </c>
      <c r="K170" s="3"/>
      <c r="L170" s="3"/>
      <c r="M170" s="3"/>
      <c r="N170" s="3"/>
      <c r="O170" s="2"/>
      <c r="Q170" s="148"/>
      <c r="R170" s="148"/>
      <c r="S170" s="137">
        <f>_xlfn.XLOOKUP(CONCATENATE(C_S_Digital[[#This Row],[Momento de ejecución]],C_S_Digital[[#This Row],[Forma de ejecución]]),C_Atributos,C_Peso,"",0)</f>
        <v>0.25</v>
      </c>
      <c r="T170" s="141" t="str">
        <f>IFERROR(_xlfn.XLOOKUP(C_S_Digital[[#This Row],[Momento de ejecución]],C_Momento,C_Efecto,,0),"")</f>
        <v>Impacto</v>
      </c>
      <c r="U170" s="143" t="str">
        <f>IFERROR(IF(C_S_Digital[[#This Row],[Código riesgo]]&lt;&gt;C169,_xlfn.XLOOKUP(C170,R_S_Digital[Código Riesgo],#REF!,,0)*IF(C_S_Digital[[#This Row],[Efecto]]="Probabilidad",1-C_S_Digital[[#This Row],[Peso]],1),IF(C_S_Digital[[#This Row],[Efecto]]="Probabilidad",U169*(1-C_S_Digital[[#This Row],[Peso]]),U169)),"")</f>
        <v/>
      </c>
      <c r="V170" s="144" t="str">
        <f>IFERROR(IF(C_S_Digital[[#This Row],[Código riesgo]]&lt;&gt;C169,_xlfn.XLOOKUP(C_S_Digital[[#This Row],[Código riesgo]],R_S_Digital[Código Riesgo],#REF!,,0)*IF(C_S_Digital[[#This Row],[Efecto]]="Impacto",1-C_S_Digital[[#This Row],[Peso]],1),IF(C_S_Digital[[#This Row],[Efecto]]="Impacto",V169*(1-C_S_Digital[[#This Row],[Peso]]),V169)),"")</f>
        <v/>
      </c>
    </row>
    <row r="171" spans="1:22" x14ac:dyDescent="0.25">
      <c r="A171" s="3">
        <v>166</v>
      </c>
      <c r="B171" s="85">
        <f>Mapa_RSD!B149</f>
        <v>0</v>
      </c>
      <c r="C171" s="136" t="e">
        <f>+R_S_Digital[[#This Row],[Código Riesgo]]</f>
        <v>#VALUE!</v>
      </c>
      <c r="D171" s="2"/>
      <c r="E171" s="141" t="str">
        <f>IF(C_S_Digital[[#This Row],[Responsable de ejecutar]]&lt;&gt;"",CONCATENATE(C_S_Digital[[#This Row],[Código riesgo]],"-",IF(C_S_Digital[[#This Row],[Código riesgo]]&lt;&gt;C170,1,RIGHT(E170,1)+1)),"")</f>
        <v/>
      </c>
      <c r="F171" s="147"/>
      <c r="G171" s="147"/>
      <c r="H171" s="147"/>
      <c r="I171" s="141" t="s">
        <v>105</v>
      </c>
      <c r="J171" s="141" t="s">
        <v>65</v>
      </c>
      <c r="K171" s="3"/>
      <c r="L171" s="3"/>
      <c r="M171" s="3"/>
      <c r="N171" s="3"/>
      <c r="O171" s="2"/>
      <c r="Q171" s="148"/>
      <c r="R171" s="148"/>
      <c r="S171" s="137">
        <f>_xlfn.XLOOKUP(CONCATENATE(C_S_Digital[[#This Row],[Momento de ejecución]],C_S_Digital[[#This Row],[Forma de ejecución]]),C_Atributos,C_Peso,"",0)</f>
        <v>0.25</v>
      </c>
      <c r="T171" s="141" t="str">
        <f>IFERROR(_xlfn.XLOOKUP(C_S_Digital[[#This Row],[Momento de ejecución]],C_Momento,C_Efecto,,0),"")</f>
        <v>Impacto</v>
      </c>
      <c r="U171" s="143" t="str">
        <f>IFERROR(IF(C_S_Digital[[#This Row],[Código riesgo]]&lt;&gt;C170,_xlfn.XLOOKUP(C171,R_S_Digital[Código Riesgo],#REF!,,0)*IF(C_S_Digital[[#This Row],[Efecto]]="Probabilidad",1-C_S_Digital[[#This Row],[Peso]],1),IF(C_S_Digital[[#This Row],[Efecto]]="Probabilidad",U170*(1-C_S_Digital[[#This Row],[Peso]]),U170)),"")</f>
        <v/>
      </c>
      <c r="V171" s="144" t="str">
        <f>IFERROR(IF(C_S_Digital[[#This Row],[Código riesgo]]&lt;&gt;C170,_xlfn.XLOOKUP(C_S_Digital[[#This Row],[Código riesgo]],R_S_Digital[Código Riesgo],#REF!,,0)*IF(C_S_Digital[[#This Row],[Efecto]]="Impacto",1-C_S_Digital[[#This Row],[Peso]],1),IF(C_S_Digital[[#This Row],[Efecto]]="Impacto",V170*(1-C_S_Digital[[#This Row],[Peso]]),V170)),"")</f>
        <v/>
      </c>
    </row>
    <row r="172" spans="1:22" x14ac:dyDescent="0.25">
      <c r="A172" s="3">
        <v>167</v>
      </c>
      <c r="B172" s="85">
        <f>Mapa_RSD!B150</f>
        <v>0</v>
      </c>
      <c r="C172" s="136" t="e">
        <f>+R_S_Digital[[#This Row],[Código Riesgo]]</f>
        <v>#VALUE!</v>
      </c>
      <c r="D172" s="2"/>
      <c r="E172" s="141" t="str">
        <f>IF(C_S_Digital[[#This Row],[Responsable de ejecutar]]&lt;&gt;"",CONCATENATE(C_S_Digital[[#This Row],[Código riesgo]],"-",IF(C_S_Digital[[#This Row],[Código riesgo]]&lt;&gt;C171,1,RIGHT(E171,1)+1)),"")</f>
        <v/>
      </c>
      <c r="F172" s="147"/>
      <c r="G172" s="147"/>
      <c r="H172" s="147"/>
      <c r="I172" s="141" t="s">
        <v>105</v>
      </c>
      <c r="J172" s="141" t="s">
        <v>65</v>
      </c>
      <c r="K172" s="3"/>
      <c r="L172" s="3"/>
      <c r="M172" s="3"/>
      <c r="N172" s="3"/>
      <c r="O172" s="2"/>
      <c r="Q172" s="148"/>
      <c r="R172" s="148"/>
      <c r="S172" s="137">
        <f>_xlfn.XLOOKUP(CONCATENATE(C_S_Digital[[#This Row],[Momento de ejecución]],C_S_Digital[[#This Row],[Forma de ejecución]]),C_Atributos,C_Peso,"",0)</f>
        <v>0.25</v>
      </c>
      <c r="T172" s="141" t="str">
        <f>IFERROR(_xlfn.XLOOKUP(C_S_Digital[[#This Row],[Momento de ejecución]],C_Momento,C_Efecto,,0),"")</f>
        <v>Impacto</v>
      </c>
      <c r="U172" s="143" t="str">
        <f>IFERROR(IF(C_S_Digital[[#This Row],[Código riesgo]]&lt;&gt;C171,_xlfn.XLOOKUP(C172,R_S_Digital[Código Riesgo],#REF!,,0)*IF(C_S_Digital[[#This Row],[Efecto]]="Probabilidad",1-C_S_Digital[[#This Row],[Peso]],1),IF(C_S_Digital[[#This Row],[Efecto]]="Probabilidad",U171*(1-C_S_Digital[[#This Row],[Peso]]),U171)),"")</f>
        <v/>
      </c>
      <c r="V172" s="144" t="str">
        <f>IFERROR(IF(C_S_Digital[[#This Row],[Código riesgo]]&lt;&gt;C171,_xlfn.XLOOKUP(C_S_Digital[[#This Row],[Código riesgo]],R_S_Digital[Código Riesgo],#REF!,,0)*IF(C_S_Digital[[#This Row],[Efecto]]="Impacto",1-C_S_Digital[[#This Row],[Peso]],1),IF(C_S_Digital[[#This Row],[Efecto]]="Impacto",V171*(1-C_S_Digital[[#This Row],[Peso]]),V171)),"")</f>
        <v/>
      </c>
    </row>
    <row r="173" spans="1:22" x14ac:dyDescent="0.25">
      <c r="A173" s="3">
        <v>168</v>
      </c>
      <c r="B173" s="85">
        <f>Mapa_RSD!B151</f>
        <v>0</v>
      </c>
      <c r="C173" s="136" t="e">
        <f>+R_S_Digital[[#This Row],[Código Riesgo]]</f>
        <v>#VALUE!</v>
      </c>
      <c r="D173" s="2"/>
      <c r="E173" s="141" t="str">
        <f>IF(C_S_Digital[[#This Row],[Responsable de ejecutar]]&lt;&gt;"",CONCATENATE(C_S_Digital[[#This Row],[Código riesgo]],"-",IF(C_S_Digital[[#This Row],[Código riesgo]]&lt;&gt;C172,1,RIGHT(E172,1)+1)),"")</f>
        <v/>
      </c>
      <c r="F173" s="147"/>
      <c r="G173" s="147"/>
      <c r="H173" s="147"/>
      <c r="I173" s="141" t="s">
        <v>105</v>
      </c>
      <c r="J173" s="141" t="s">
        <v>65</v>
      </c>
      <c r="K173" s="3"/>
      <c r="L173" s="3"/>
      <c r="M173" s="3"/>
      <c r="N173" s="3"/>
      <c r="O173" s="2"/>
      <c r="Q173" s="148"/>
      <c r="R173" s="148"/>
      <c r="S173" s="137">
        <f>_xlfn.XLOOKUP(CONCATENATE(C_S_Digital[[#This Row],[Momento de ejecución]],C_S_Digital[[#This Row],[Forma de ejecución]]),C_Atributos,C_Peso,"",0)</f>
        <v>0.25</v>
      </c>
      <c r="T173" s="141" t="str">
        <f>IFERROR(_xlfn.XLOOKUP(C_S_Digital[[#This Row],[Momento de ejecución]],C_Momento,C_Efecto,,0),"")</f>
        <v>Impacto</v>
      </c>
      <c r="U173" s="143" t="str">
        <f>IFERROR(IF(C_S_Digital[[#This Row],[Código riesgo]]&lt;&gt;C172,_xlfn.XLOOKUP(C173,R_S_Digital[Código Riesgo],#REF!,,0)*IF(C_S_Digital[[#This Row],[Efecto]]="Probabilidad",1-C_S_Digital[[#This Row],[Peso]],1),IF(C_S_Digital[[#This Row],[Efecto]]="Probabilidad",U172*(1-C_S_Digital[[#This Row],[Peso]]),U172)),"")</f>
        <v/>
      </c>
      <c r="V173" s="144" t="str">
        <f>IFERROR(IF(C_S_Digital[[#This Row],[Código riesgo]]&lt;&gt;C172,_xlfn.XLOOKUP(C_S_Digital[[#This Row],[Código riesgo]],R_S_Digital[Código Riesgo],#REF!,,0)*IF(C_S_Digital[[#This Row],[Efecto]]="Impacto",1-C_S_Digital[[#This Row],[Peso]],1),IF(C_S_Digital[[#This Row],[Efecto]]="Impacto",V172*(1-C_S_Digital[[#This Row],[Peso]]),V172)),"")</f>
        <v/>
      </c>
    </row>
    <row r="174" spans="1:22" x14ac:dyDescent="0.25">
      <c r="A174" s="3">
        <v>169</v>
      </c>
      <c r="B174" s="85">
        <f>Mapa_RSD!B152</f>
        <v>0</v>
      </c>
      <c r="C174" s="136" t="e">
        <f>+R_S_Digital[[#This Row],[Código Riesgo]]</f>
        <v>#VALUE!</v>
      </c>
      <c r="D174" s="2"/>
      <c r="E174" s="141" t="str">
        <f>IF(C_S_Digital[[#This Row],[Responsable de ejecutar]]&lt;&gt;"",CONCATENATE(C_S_Digital[[#This Row],[Código riesgo]],"-",IF(C_S_Digital[[#This Row],[Código riesgo]]&lt;&gt;C173,1,RIGHT(E173,1)+1)),"")</f>
        <v/>
      </c>
      <c r="F174" s="147"/>
      <c r="G174" s="147"/>
      <c r="H174" s="147"/>
      <c r="I174" s="141" t="s">
        <v>105</v>
      </c>
      <c r="J174" s="141" t="s">
        <v>65</v>
      </c>
      <c r="K174" s="3"/>
      <c r="L174" s="3"/>
      <c r="M174" s="3"/>
      <c r="N174" s="3"/>
      <c r="O174" s="2"/>
      <c r="Q174" s="148"/>
      <c r="R174" s="148"/>
      <c r="S174" s="137">
        <f>_xlfn.XLOOKUP(CONCATENATE(C_S_Digital[[#This Row],[Momento de ejecución]],C_S_Digital[[#This Row],[Forma de ejecución]]),C_Atributos,C_Peso,"",0)</f>
        <v>0.25</v>
      </c>
      <c r="T174" s="141" t="str">
        <f>IFERROR(_xlfn.XLOOKUP(C_S_Digital[[#This Row],[Momento de ejecución]],C_Momento,C_Efecto,,0),"")</f>
        <v>Impacto</v>
      </c>
      <c r="U174" s="143" t="str">
        <f>IFERROR(IF(C_S_Digital[[#This Row],[Código riesgo]]&lt;&gt;C173,_xlfn.XLOOKUP(C174,R_S_Digital[Código Riesgo],#REF!,,0)*IF(C_S_Digital[[#This Row],[Efecto]]="Probabilidad",1-C_S_Digital[[#This Row],[Peso]],1),IF(C_S_Digital[[#This Row],[Efecto]]="Probabilidad",U173*(1-C_S_Digital[[#This Row],[Peso]]),U173)),"")</f>
        <v/>
      </c>
      <c r="V174" s="144" t="str">
        <f>IFERROR(IF(C_S_Digital[[#This Row],[Código riesgo]]&lt;&gt;C173,_xlfn.XLOOKUP(C_S_Digital[[#This Row],[Código riesgo]],R_S_Digital[Código Riesgo],#REF!,,0)*IF(C_S_Digital[[#This Row],[Efecto]]="Impacto",1-C_S_Digital[[#This Row],[Peso]],1),IF(C_S_Digital[[#This Row],[Efecto]]="Impacto",V173*(1-C_S_Digital[[#This Row],[Peso]]),V173)),"")</f>
        <v/>
      </c>
    </row>
    <row r="175" spans="1:22" x14ac:dyDescent="0.25">
      <c r="A175" s="3">
        <v>170</v>
      </c>
      <c r="B175" s="85">
        <f>Mapa_RSD!B153</f>
        <v>0</v>
      </c>
      <c r="C175" s="136" t="e">
        <f>+R_S_Digital[[#This Row],[Código Riesgo]]</f>
        <v>#VALUE!</v>
      </c>
      <c r="D175" s="2"/>
      <c r="E175" s="141" t="str">
        <f>IF(C_S_Digital[[#This Row],[Responsable de ejecutar]]&lt;&gt;"",CONCATENATE(C_S_Digital[[#This Row],[Código riesgo]],"-",IF(C_S_Digital[[#This Row],[Código riesgo]]&lt;&gt;C174,1,RIGHT(E174,1)+1)),"")</f>
        <v/>
      </c>
      <c r="F175" s="147"/>
      <c r="G175" s="147"/>
      <c r="H175" s="147"/>
      <c r="I175" s="141" t="s">
        <v>105</v>
      </c>
      <c r="J175" s="141" t="s">
        <v>65</v>
      </c>
      <c r="K175" s="3"/>
      <c r="L175" s="3"/>
      <c r="M175" s="3"/>
      <c r="N175" s="3"/>
      <c r="O175" s="2"/>
      <c r="Q175" s="148"/>
      <c r="R175" s="148"/>
      <c r="S175" s="137">
        <f>_xlfn.XLOOKUP(CONCATENATE(C_S_Digital[[#This Row],[Momento de ejecución]],C_S_Digital[[#This Row],[Forma de ejecución]]),C_Atributos,C_Peso,"",0)</f>
        <v>0.25</v>
      </c>
      <c r="T175" s="141" t="str">
        <f>IFERROR(_xlfn.XLOOKUP(C_S_Digital[[#This Row],[Momento de ejecución]],C_Momento,C_Efecto,,0),"")</f>
        <v>Impacto</v>
      </c>
      <c r="U175" s="143" t="str">
        <f>IFERROR(IF(C_S_Digital[[#This Row],[Código riesgo]]&lt;&gt;C174,_xlfn.XLOOKUP(C175,R_S_Digital[Código Riesgo],#REF!,,0)*IF(C_S_Digital[[#This Row],[Efecto]]="Probabilidad",1-C_S_Digital[[#This Row],[Peso]],1),IF(C_S_Digital[[#This Row],[Efecto]]="Probabilidad",U174*(1-C_S_Digital[[#This Row],[Peso]]),U174)),"")</f>
        <v/>
      </c>
      <c r="V175" s="144" t="str">
        <f>IFERROR(IF(C_S_Digital[[#This Row],[Código riesgo]]&lt;&gt;C174,_xlfn.XLOOKUP(C_S_Digital[[#This Row],[Código riesgo]],R_S_Digital[Código Riesgo],#REF!,,0)*IF(C_S_Digital[[#This Row],[Efecto]]="Impacto",1-C_S_Digital[[#This Row],[Peso]],1),IF(C_S_Digital[[#This Row],[Efecto]]="Impacto",V174*(1-C_S_Digital[[#This Row],[Peso]]),V174)),"")</f>
        <v/>
      </c>
    </row>
    <row r="176" spans="1:22" x14ac:dyDescent="0.25">
      <c r="A176" s="3">
        <v>171</v>
      </c>
      <c r="B176" s="85">
        <f>Mapa_RSD!B154</f>
        <v>0</v>
      </c>
      <c r="C176" s="136" t="e">
        <f>+R_S_Digital[[#This Row],[Código Riesgo]]</f>
        <v>#VALUE!</v>
      </c>
      <c r="D176" s="2"/>
      <c r="E176" s="141" t="str">
        <f>IF(C_S_Digital[[#This Row],[Responsable de ejecutar]]&lt;&gt;"",CONCATENATE(C_S_Digital[[#This Row],[Código riesgo]],"-",IF(C_S_Digital[[#This Row],[Código riesgo]]&lt;&gt;C175,1,RIGHT(E175,1)+1)),"")</f>
        <v/>
      </c>
      <c r="F176" s="147"/>
      <c r="G176" s="147"/>
      <c r="H176" s="147"/>
      <c r="I176" s="141" t="s">
        <v>105</v>
      </c>
      <c r="J176" s="141" t="s">
        <v>65</v>
      </c>
      <c r="K176" s="3"/>
      <c r="L176" s="3"/>
      <c r="M176" s="3"/>
      <c r="N176" s="3"/>
      <c r="O176" s="2"/>
      <c r="Q176" s="148"/>
      <c r="R176" s="148"/>
      <c r="S176" s="137">
        <f>_xlfn.XLOOKUP(CONCATENATE(C_S_Digital[[#This Row],[Momento de ejecución]],C_S_Digital[[#This Row],[Forma de ejecución]]),C_Atributos,C_Peso,"",0)</f>
        <v>0.25</v>
      </c>
      <c r="T176" s="141" t="str">
        <f>IFERROR(_xlfn.XLOOKUP(C_S_Digital[[#This Row],[Momento de ejecución]],C_Momento,C_Efecto,,0),"")</f>
        <v>Impacto</v>
      </c>
      <c r="U176" s="143" t="str">
        <f>IFERROR(IF(C_S_Digital[[#This Row],[Código riesgo]]&lt;&gt;C175,_xlfn.XLOOKUP(C176,R_S_Digital[Código Riesgo],#REF!,,0)*IF(C_S_Digital[[#This Row],[Efecto]]="Probabilidad",1-C_S_Digital[[#This Row],[Peso]],1),IF(C_S_Digital[[#This Row],[Efecto]]="Probabilidad",U175*(1-C_S_Digital[[#This Row],[Peso]]),U175)),"")</f>
        <v/>
      </c>
      <c r="V176" s="144" t="str">
        <f>IFERROR(IF(C_S_Digital[[#This Row],[Código riesgo]]&lt;&gt;C175,_xlfn.XLOOKUP(C_S_Digital[[#This Row],[Código riesgo]],R_S_Digital[Código Riesgo],#REF!,,0)*IF(C_S_Digital[[#This Row],[Efecto]]="Impacto",1-C_S_Digital[[#This Row],[Peso]],1),IF(C_S_Digital[[#This Row],[Efecto]]="Impacto",V175*(1-C_S_Digital[[#This Row],[Peso]]),V175)),"")</f>
        <v/>
      </c>
    </row>
    <row r="177" spans="1:22" x14ac:dyDescent="0.25">
      <c r="A177" s="3">
        <v>172</v>
      </c>
      <c r="B177" s="85">
        <f>Mapa_RSD!B155</f>
        <v>0</v>
      </c>
      <c r="C177" s="136" t="e">
        <f>+R_S_Digital[[#This Row],[Código Riesgo]]</f>
        <v>#VALUE!</v>
      </c>
      <c r="D177" s="2"/>
      <c r="E177" s="141" t="str">
        <f>IF(C_S_Digital[[#This Row],[Responsable de ejecutar]]&lt;&gt;"",CONCATENATE(C_S_Digital[[#This Row],[Código riesgo]],"-",IF(C_S_Digital[[#This Row],[Código riesgo]]&lt;&gt;C176,1,RIGHT(E176,1)+1)),"")</f>
        <v/>
      </c>
      <c r="F177" s="147"/>
      <c r="G177" s="147"/>
      <c r="H177" s="147"/>
      <c r="I177" s="141" t="s">
        <v>105</v>
      </c>
      <c r="J177" s="141" t="s">
        <v>65</v>
      </c>
      <c r="K177" s="3"/>
      <c r="L177" s="3"/>
      <c r="M177" s="3"/>
      <c r="N177" s="3"/>
      <c r="O177" s="2"/>
      <c r="Q177" s="148"/>
      <c r="R177" s="148"/>
      <c r="S177" s="137">
        <f>_xlfn.XLOOKUP(CONCATENATE(C_S_Digital[[#This Row],[Momento de ejecución]],C_S_Digital[[#This Row],[Forma de ejecución]]),C_Atributos,C_Peso,"",0)</f>
        <v>0.25</v>
      </c>
      <c r="T177" s="141" t="str">
        <f>IFERROR(_xlfn.XLOOKUP(C_S_Digital[[#This Row],[Momento de ejecución]],C_Momento,C_Efecto,,0),"")</f>
        <v>Impacto</v>
      </c>
      <c r="U177" s="143" t="str">
        <f>IFERROR(IF(C_S_Digital[[#This Row],[Código riesgo]]&lt;&gt;C176,_xlfn.XLOOKUP(C177,R_S_Digital[Código Riesgo],#REF!,,0)*IF(C_S_Digital[[#This Row],[Efecto]]="Probabilidad",1-C_S_Digital[[#This Row],[Peso]],1),IF(C_S_Digital[[#This Row],[Efecto]]="Probabilidad",U176*(1-C_S_Digital[[#This Row],[Peso]]),U176)),"")</f>
        <v/>
      </c>
      <c r="V177" s="144" t="str">
        <f>IFERROR(IF(C_S_Digital[[#This Row],[Código riesgo]]&lt;&gt;C176,_xlfn.XLOOKUP(C_S_Digital[[#This Row],[Código riesgo]],R_S_Digital[Código Riesgo],#REF!,,0)*IF(C_S_Digital[[#This Row],[Efecto]]="Impacto",1-C_S_Digital[[#This Row],[Peso]],1),IF(C_S_Digital[[#This Row],[Efecto]]="Impacto",V176*(1-C_S_Digital[[#This Row],[Peso]]),V176)),"")</f>
        <v/>
      </c>
    </row>
    <row r="178" spans="1:22" x14ac:dyDescent="0.25">
      <c r="A178" s="3">
        <v>173</v>
      </c>
      <c r="B178" s="85">
        <f>Mapa_RSD!B156</f>
        <v>0</v>
      </c>
      <c r="C178" s="136" t="e">
        <f>+R_S_Digital[[#This Row],[Código Riesgo]]</f>
        <v>#VALUE!</v>
      </c>
      <c r="D178" s="2"/>
      <c r="E178" s="141" t="str">
        <f>IF(C_S_Digital[[#This Row],[Responsable de ejecutar]]&lt;&gt;"",CONCATENATE(C_S_Digital[[#This Row],[Código riesgo]],"-",IF(C_S_Digital[[#This Row],[Código riesgo]]&lt;&gt;C177,1,RIGHT(E177,1)+1)),"")</f>
        <v/>
      </c>
      <c r="F178" s="147"/>
      <c r="G178" s="147"/>
      <c r="H178" s="147"/>
      <c r="I178" s="141" t="s">
        <v>105</v>
      </c>
      <c r="J178" s="141" t="s">
        <v>65</v>
      </c>
      <c r="K178" s="3"/>
      <c r="L178" s="3"/>
      <c r="M178" s="3"/>
      <c r="N178" s="3"/>
      <c r="O178" s="2"/>
      <c r="Q178" s="148"/>
      <c r="R178" s="148"/>
      <c r="S178" s="137">
        <f>_xlfn.XLOOKUP(CONCATENATE(C_S_Digital[[#This Row],[Momento de ejecución]],C_S_Digital[[#This Row],[Forma de ejecución]]),C_Atributos,C_Peso,"",0)</f>
        <v>0.25</v>
      </c>
      <c r="T178" s="141" t="str">
        <f>IFERROR(_xlfn.XLOOKUP(C_S_Digital[[#This Row],[Momento de ejecución]],C_Momento,C_Efecto,,0),"")</f>
        <v>Impacto</v>
      </c>
      <c r="U178" s="143" t="str">
        <f>IFERROR(IF(C_S_Digital[[#This Row],[Código riesgo]]&lt;&gt;C177,_xlfn.XLOOKUP(C178,R_S_Digital[Código Riesgo],#REF!,,0)*IF(C_S_Digital[[#This Row],[Efecto]]="Probabilidad",1-C_S_Digital[[#This Row],[Peso]],1),IF(C_S_Digital[[#This Row],[Efecto]]="Probabilidad",U177*(1-C_S_Digital[[#This Row],[Peso]]),U177)),"")</f>
        <v/>
      </c>
      <c r="V178" s="144" t="str">
        <f>IFERROR(IF(C_S_Digital[[#This Row],[Código riesgo]]&lt;&gt;C177,_xlfn.XLOOKUP(C_S_Digital[[#This Row],[Código riesgo]],R_S_Digital[Código Riesgo],#REF!,,0)*IF(C_S_Digital[[#This Row],[Efecto]]="Impacto",1-C_S_Digital[[#This Row],[Peso]],1),IF(C_S_Digital[[#This Row],[Efecto]]="Impacto",V177*(1-C_S_Digital[[#This Row],[Peso]]),V177)),"")</f>
        <v/>
      </c>
    </row>
    <row r="179" spans="1:22" x14ac:dyDescent="0.25">
      <c r="A179" s="3">
        <v>174</v>
      </c>
      <c r="B179" s="85">
        <f>Mapa_RSD!B157</f>
        <v>0</v>
      </c>
      <c r="C179" s="136" t="e">
        <f>+R_S_Digital[[#This Row],[Código Riesgo]]</f>
        <v>#VALUE!</v>
      </c>
      <c r="D179" s="2"/>
      <c r="E179" s="141" t="str">
        <f>IF(C_S_Digital[[#This Row],[Responsable de ejecutar]]&lt;&gt;"",CONCATENATE(C_S_Digital[[#This Row],[Código riesgo]],"-",IF(C_S_Digital[[#This Row],[Código riesgo]]&lt;&gt;C178,1,RIGHT(E178,1)+1)),"")</f>
        <v/>
      </c>
      <c r="F179" s="147"/>
      <c r="G179" s="147"/>
      <c r="H179" s="147"/>
      <c r="I179" s="141" t="s">
        <v>105</v>
      </c>
      <c r="J179" s="141" t="s">
        <v>65</v>
      </c>
      <c r="K179" s="3"/>
      <c r="L179" s="3"/>
      <c r="M179" s="3"/>
      <c r="N179" s="3"/>
      <c r="O179" s="2"/>
      <c r="Q179" s="148"/>
      <c r="R179" s="148"/>
      <c r="S179" s="137">
        <f>_xlfn.XLOOKUP(CONCATENATE(C_S_Digital[[#This Row],[Momento de ejecución]],C_S_Digital[[#This Row],[Forma de ejecución]]),C_Atributos,C_Peso,"",0)</f>
        <v>0.25</v>
      </c>
      <c r="T179" s="141" t="str">
        <f>IFERROR(_xlfn.XLOOKUP(C_S_Digital[[#This Row],[Momento de ejecución]],C_Momento,C_Efecto,,0),"")</f>
        <v>Impacto</v>
      </c>
      <c r="U179" s="143" t="str">
        <f>IFERROR(IF(C_S_Digital[[#This Row],[Código riesgo]]&lt;&gt;C178,_xlfn.XLOOKUP(C179,R_S_Digital[Código Riesgo],#REF!,,0)*IF(C_S_Digital[[#This Row],[Efecto]]="Probabilidad",1-C_S_Digital[[#This Row],[Peso]],1),IF(C_S_Digital[[#This Row],[Efecto]]="Probabilidad",U178*(1-C_S_Digital[[#This Row],[Peso]]),U178)),"")</f>
        <v/>
      </c>
      <c r="V179" s="144" t="str">
        <f>IFERROR(IF(C_S_Digital[[#This Row],[Código riesgo]]&lt;&gt;C178,_xlfn.XLOOKUP(C_S_Digital[[#This Row],[Código riesgo]],R_S_Digital[Código Riesgo],#REF!,,0)*IF(C_S_Digital[[#This Row],[Efecto]]="Impacto",1-C_S_Digital[[#This Row],[Peso]],1),IF(C_S_Digital[[#This Row],[Efecto]]="Impacto",V178*(1-C_S_Digital[[#This Row],[Peso]]),V178)),"")</f>
        <v/>
      </c>
    </row>
    <row r="180" spans="1:22" x14ac:dyDescent="0.25">
      <c r="A180" s="3">
        <v>175</v>
      </c>
      <c r="B180" s="85">
        <f>Mapa_RSD!B158</f>
        <v>0</v>
      </c>
      <c r="C180" s="136" t="e">
        <f>+R_S_Digital[[#This Row],[Código Riesgo]]</f>
        <v>#VALUE!</v>
      </c>
      <c r="D180" s="2"/>
      <c r="E180" s="141" t="str">
        <f>IF(C_S_Digital[[#This Row],[Responsable de ejecutar]]&lt;&gt;"",CONCATENATE(C_S_Digital[[#This Row],[Código riesgo]],"-",IF(C_S_Digital[[#This Row],[Código riesgo]]&lt;&gt;C179,1,RIGHT(E179,1)+1)),"")</f>
        <v/>
      </c>
      <c r="F180" s="147"/>
      <c r="G180" s="147"/>
      <c r="H180" s="147"/>
      <c r="I180" s="141" t="s">
        <v>105</v>
      </c>
      <c r="J180" s="141" t="s">
        <v>65</v>
      </c>
      <c r="K180" s="3"/>
      <c r="L180" s="3"/>
      <c r="M180" s="3"/>
      <c r="N180" s="3"/>
      <c r="O180" s="2"/>
      <c r="Q180" s="148"/>
      <c r="R180" s="148"/>
      <c r="S180" s="137">
        <f>_xlfn.XLOOKUP(CONCATENATE(C_S_Digital[[#This Row],[Momento de ejecución]],C_S_Digital[[#This Row],[Forma de ejecución]]),C_Atributos,C_Peso,"",0)</f>
        <v>0.25</v>
      </c>
      <c r="T180" s="141" t="str">
        <f>IFERROR(_xlfn.XLOOKUP(C_S_Digital[[#This Row],[Momento de ejecución]],C_Momento,C_Efecto,,0),"")</f>
        <v>Impacto</v>
      </c>
      <c r="U180" s="143" t="str">
        <f>IFERROR(IF(C_S_Digital[[#This Row],[Código riesgo]]&lt;&gt;C179,_xlfn.XLOOKUP(C180,R_S_Digital[Código Riesgo],#REF!,,0)*IF(C_S_Digital[[#This Row],[Efecto]]="Probabilidad",1-C_S_Digital[[#This Row],[Peso]],1),IF(C_S_Digital[[#This Row],[Efecto]]="Probabilidad",U179*(1-C_S_Digital[[#This Row],[Peso]]),U179)),"")</f>
        <v/>
      </c>
      <c r="V180" s="144" t="str">
        <f>IFERROR(IF(C_S_Digital[[#This Row],[Código riesgo]]&lt;&gt;C179,_xlfn.XLOOKUP(C_S_Digital[[#This Row],[Código riesgo]],R_S_Digital[Código Riesgo],#REF!,,0)*IF(C_S_Digital[[#This Row],[Efecto]]="Impacto",1-C_S_Digital[[#This Row],[Peso]],1),IF(C_S_Digital[[#This Row],[Efecto]]="Impacto",V179*(1-C_S_Digital[[#This Row],[Peso]]),V179)),"")</f>
        <v/>
      </c>
    </row>
    <row r="181" spans="1:22" x14ac:dyDescent="0.25">
      <c r="A181" s="3">
        <v>176</v>
      </c>
      <c r="B181" s="85">
        <f>Mapa_RSD!B159</f>
        <v>0</v>
      </c>
      <c r="C181" s="136" t="e">
        <f>+R_S_Digital[[#This Row],[Código Riesgo]]</f>
        <v>#VALUE!</v>
      </c>
      <c r="D181" s="2"/>
      <c r="E181" s="141" t="str">
        <f>IF(C_S_Digital[[#This Row],[Responsable de ejecutar]]&lt;&gt;"",CONCATENATE(C_S_Digital[[#This Row],[Código riesgo]],"-",IF(C_S_Digital[[#This Row],[Código riesgo]]&lt;&gt;C180,1,RIGHT(E180,1)+1)),"")</f>
        <v/>
      </c>
      <c r="F181" s="147"/>
      <c r="G181" s="147"/>
      <c r="H181" s="147"/>
      <c r="I181" s="141" t="s">
        <v>105</v>
      </c>
      <c r="J181" s="141" t="s">
        <v>65</v>
      </c>
      <c r="K181" s="3"/>
      <c r="L181" s="3"/>
      <c r="M181" s="3"/>
      <c r="N181" s="3"/>
      <c r="O181" s="2"/>
      <c r="Q181" s="148"/>
      <c r="R181" s="148"/>
      <c r="S181" s="137">
        <f>_xlfn.XLOOKUP(CONCATENATE(C_S_Digital[[#This Row],[Momento de ejecución]],C_S_Digital[[#This Row],[Forma de ejecución]]),C_Atributos,C_Peso,"",0)</f>
        <v>0.25</v>
      </c>
      <c r="T181" s="141" t="str">
        <f>IFERROR(_xlfn.XLOOKUP(C_S_Digital[[#This Row],[Momento de ejecución]],C_Momento,C_Efecto,,0),"")</f>
        <v>Impacto</v>
      </c>
      <c r="U181" s="143" t="str">
        <f>IFERROR(IF(C_S_Digital[[#This Row],[Código riesgo]]&lt;&gt;C180,_xlfn.XLOOKUP(C181,R_S_Digital[Código Riesgo],#REF!,,0)*IF(C_S_Digital[[#This Row],[Efecto]]="Probabilidad",1-C_S_Digital[[#This Row],[Peso]],1),IF(C_S_Digital[[#This Row],[Efecto]]="Probabilidad",U180*(1-C_S_Digital[[#This Row],[Peso]]),U180)),"")</f>
        <v/>
      </c>
      <c r="V181" s="144" t="str">
        <f>IFERROR(IF(C_S_Digital[[#This Row],[Código riesgo]]&lt;&gt;C180,_xlfn.XLOOKUP(C_S_Digital[[#This Row],[Código riesgo]],R_S_Digital[Código Riesgo],#REF!,,0)*IF(C_S_Digital[[#This Row],[Efecto]]="Impacto",1-C_S_Digital[[#This Row],[Peso]],1),IF(C_S_Digital[[#This Row],[Efecto]]="Impacto",V180*(1-C_S_Digital[[#This Row],[Peso]]),V180)),"")</f>
        <v/>
      </c>
    </row>
    <row r="182" spans="1:22" x14ac:dyDescent="0.25">
      <c r="A182" s="3">
        <v>177</v>
      </c>
      <c r="B182" s="85">
        <f>Mapa_RSD!B160</f>
        <v>0</v>
      </c>
      <c r="C182" s="136" t="e">
        <f>+R_S_Digital[[#This Row],[Código Riesgo]]</f>
        <v>#VALUE!</v>
      </c>
      <c r="D182" s="2"/>
      <c r="E182" s="141" t="str">
        <f>IF(C_S_Digital[[#This Row],[Responsable de ejecutar]]&lt;&gt;"",CONCATENATE(C_S_Digital[[#This Row],[Código riesgo]],"-",IF(C_S_Digital[[#This Row],[Código riesgo]]&lt;&gt;C181,1,RIGHT(E181,1)+1)),"")</f>
        <v/>
      </c>
      <c r="F182" s="147"/>
      <c r="G182" s="147"/>
      <c r="H182" s="147"/>
      <c r="I182" s="141" t="s">
        <v>105</v>
      </c>
      <c r="J182" s="141" t="s">
        <v>65</v>
      </c>
      <c r="K182" s="3"/>
      <c r="L182" s="3"/>
      <c r="M182" s="3"/>
      <c r="N182" s="3"/>
      <c r="O182" s="2"/>
      <c r="Q182" s="148"/>
      <c r="R182" s="148"/>
      <c r="S182" s="137">
        <f>_xlfn.XLOOKUP(CONCATENATE(C_S_Digital[[#This Row],[Momento de ejecución]],C_S_Digital[[#This Row],[Forma de ejecución]]),C_Atributos,C_Peso,"",0)</f>
        <v>0.25</v>
      </c>
      <c r="T182" s="141" t="str">
        <f>IFERROR(_xlfn.XLOOKUP(C_S_Digital[[#This Row],[Momento de ejecución]],C_Momento,C_Efecto,,0),"")</f>
        <v>Impacto</v>
      </c>
      <c r="U182" s="143" t="str">
        <f>IFERROR(IF(C_S_Digital[[#This Row],[Código riesgo]]&lt;&gt;C181,_xlfn.XLOOKUP(C182,R_S_Digital[Código Riesgo],#REF!,,0)*IF(C_S_Digital[[#This Row],[Efecto]]="Probabilidad",1-C_S_Digital[[#This Row],[Peso]],1),IF(C_S_Digital[[#This Row],[Efecto]]="Probabilidad",U181*(1-C_S_Digital[[#This Row],[Peso]]),U181)),"")</f>
        <v/>
      </c>
      <c r="V182" s="144" t="str">
        <f>IFERROR(IF(C_S_Digital[[#This Row],[Código riesgo]]&lt;&gt;C181,_xlfn.XLOOKUP(C_S_Digital[[#This Row],[Código riesgo]],R_S_Digital[Código Riesgo],#REF!,,0)*IF(C_S_Digital[[#This Row],[Efecto]]="Impacto",1-C_S_Digital[[#This Row],[Peso]],1),IF(C_S_Digital[[#This Row],[Efecto]]="Impacto",V181*(1-C_S_Digital[[#This Row],[Peso]]),V181)),"")</f>
        <v/>
      </c>
    </row>
    <row r="183" spans="1:22" x14ac:dyDescent="0.25">
      <c r="A183" s="3">
        <v>178</v>
      </c>
      <c r="B183" s="85">
        <f>Mapa_RSD!B161</f>
        <v>0</v>
      </c>
      <c r="C183" s="136" t="e">
        <f>+R_S_Digital[[#This Row],[Código Riesgo]]</f>
        <v>#VALUE!</v>
      </c>
      <c r="D183" s="2"/>
      <c r="E183" s="141" t="str">
        <f>IF(C_S_Digital[[#This Row],[Responsable de ejecutar]]&lt;&gt;"",CONCATENATE(C_S_Digital[[#This Row],[Código riesgo]],"-",IF(C_S_Digital[[#This Row],[Código riesgo]]&lt;&gt;C182,1,RIGHT(E182,1)+1)),"")</f>
        <v/>
      </c>
      <c r="F183" s="147"/>
      <c r="G183" s="147"/>
      <c r="H183" s="147"/>
      <c r="I183" s="141" t="s">
        <v>105</v>
      </c>
      <c r="J183" s="141" t="s">
        <v>65</v>
      </c>
      <c r="K183" s="3"/>
      <c r="L183" s="3"/>
      <c r="M183" s="3"/>
      <c r="N183" s="3"/>
      <c r="O183" s="2"/>
      <c r="Q183" s="148"/>
      <c r="R183" s="148"/>
      <c r="S183" s="137">
        <f>_xlfn.XLOOKUP(CONCATENATE(C_S_Digital[[#This Row],[Momento de ejecución]],C_S_Digital[[#This Row],[Forma de ejecución]]),C_Atributos,C_Peso,"",0)</f>
        <v>0.25</v>
      </c>
      <c r="T183" s="141" t="str">
        <f>IFERROR(_xlfn.XLOOKUP(C_S_Digital[[#This Row],[Momento de ejecución]],C_Momento,C_Efecto,,0),"")</f>
        <v>Impacto</v>
      </c>
      <c r="U183" s="143" t="str">
        <f>IFERROR(IF(C_S_Digital[[#This Row],[Código riesgo]]&lt;&gt;C182,_xlfn.XLOOKUP(C183,R_S_Digital[Código Riesgo],#REF!,,0)*IF(C_S_Digital[[#This Row],[Efecto]]="Probabilidad",1-C_S_Digital[[#This Row],[Peso]],1),IF(C_S_Digital[[#This Row],[Efecto]]="Probabilidad",U182*(1-C_S_Digital[[#This Row],[Peso]]),U182)),"")</f>
        <v/>
      </c>
      <c r="V183" s="144" t="str">
        <f>IFERROR(IF(C_S_Digital[[#This Row],[Código riesgo]]&lt;&gt;C182,_xlfn.XLOOKUP(C_S_Digital[[#This Row],[Código riesgo]],R_S_Digital[Código Riesgo],#REF!,,0)*IF(C_S_Digital[[#This Row],[Efecto]]="Impacto",1-C_S_Digital[[#This Row],[Peso]],1),IF(C_S_Digital[[#This Row],[Efecto]]="Impacto",V182*(1-C_S_Digital[[#This Row],[Peso]]),V182)),"")</f>
        <v/>
      </c>
    </row>
    <row r="184" spans="1:22" x14ac:dyDescent="0.25">
      <c r="A184" s="3">
        <v>179</v>
      </c>
      <c r="B184" s="85">
        <f>Mapa_RSD!B162</f>
        <v>0</v>
      </c>
      <c r="C184" s="136" t="e">
        <f>+R_S_Digital[[#This Row],[Código Riesgo]]</f>
        <v>#VALUE!</v>
      </c>
      <c r="D184" s="2"/>
      <c r="E184" s="141" t="str">
        <f>IF(C_S_Digital[[#This Row],[Responsable de ejecutar]]&lt;&gt;"",CONCATENATE(C_S_Digital[[#This Row],[Código riesgo]],"-",IF(C_S_Digital[[#This Row],[Código riesgo]]&lt;&gt;C183,1,RIGHT(E183,1)+1)),"")</f>
        <v/>
      </c>
      <c r="F184" s="147"/>
      <c r="G184" s="147"/>
      <c r="H184" s="147"/>
      <c r="I184" s="141" t="s">
        <v>105</v>
      </c>
      <c r="J184" s="141" t="s">
        <v>65</v>
      </c>
      <c r="K184" s="3"/>
      <c r="L184" s="3"/>
      <c r="M184" s="3"/>
      <c r="N184" s="3"/>
      <c r="O184" s="2"/>
      <c r="Q184" s="148"/>
      <c r="R184" s="148"/>
      <c r="S184" s="137">
        <f>_xlfn.XLOOKUP(CONCATENATE(C_S_Digital[[#This Row],[Momento de ejecución]],C_S_Digital[[#This Row],[Forma de ejecución]]),C_Atributos,C_Peso,"",0)</f>
        <v>0.25</v>
      </c>
      <c r="T184" s="141" t="str">
        <f>IFERROR(_xlfn.XLOOKUP(C_S_Digital[[#This Row],[Momento de ejecución]],C_Momento,C_Efecto,,0),"")</f>
        <v>Impacto</v>
      </c>
      <c r="U184" s="143" t="str">
        <f>IFERROR(IF(C_S_Digital[[#This Row],[Código riesgo]]&lt;&gt;C183,_xlfn.XLOOKUP(C184,R_S_Digital[Código Riesgo],#REF!,,0)*IF(C_S_Digital[[#This Row],[Efecto]]="Probabilidad",1-C_S_Digital[[#This Row],[Peso]],1),IF(C_S_Digital[[#This Row],[Efecto]]="Probabilidad",U183*(1-C_S_Digital[[#This Row],[Peso]]),U183)),"")</f>
        <v/>
      </c>
      <c r="V184" s="144" t="str">
        <f>IFERROR(IF(C_S_Digital[[#This Row],[Código riesgo]]&lt;&gt;C183,_xlfn.XLOOKUP(C_S_Digital[[#This Row],[Código riesgo]],R_S_Digital[Código Riesgo],#REF!,,0)*IF(C_S_Digital[[#This Row],[Efecto]]="Impacto",1-C_S_Digital[[#This Row],[Peso]],1),IF(C_S_Digital[[#This Row],[Efecto]]="Impacto",V183*(1-C_S_Digital[[#This Row],[Peso]]),V183)),"")</f>
        <v/>
      </c>
    </row>
    <row r="185" spans="1:22" x14ac:dyDescent="0.25">
      <c r="A185" s="3">
        <v>180</v>
      </c>
      <c r="B185" s="85">
        <f>Mapa_RSD!B163</f>
        <v>0</v>
      </c>
      <c r="C185" s="136" t="e">
        <f>+R_S_Digital[[#This Row],[Código Riesgo]]</f>
        <v>#VALUE!</v>
      </c>
      <c r="D185" s="2"/>
      <c r="E185" s="141" t="str">
        <f>IF(C_S_Digital[[#This Row],[Responsable de ejecutar]]&lt;&gt;"",CONCATENATE(C_S_Digital[[#This Row],[Código riesgo]],"-",IF(C_S_Digital[[#This Row],[Código riesgo]]&lt;&gt;C184,1,RIGHT(E184,1)+1)),"")</f>
        <v/>
      </c>
      <c r="F185" s="147"/>
      <c r="G185" s="147"/>
      <c r="H185" s="147"/>
      <c r="I185" s="141" t="s">
        <v>105</v>
      </c>
      <c r="J185" s="141" t="s">
        <v>65</v>
      </c>
      <c r="K185" s="3"/>
      <c r="L185" s="3"/>
      <c r="M185" s="3"/>
      <c r="N185" s="3"/>
      <c r="O185" s="2"/>
      <c r="Q185" s="148"/>
      <c r="R185" s="148"/>
      <c r="S185" s="137">
        <f>_xlfn.XLOOKUP(CONCATENATE(C_S_Digital[[#This Row],[Momento de ejecución]],C_S_Digital[[#This Row],[Forma de ejecución]]),C_Atributos,C_Peso,"",0)</f>
        <v>0.25</v>
      </c>
      <c r="T185" s="141" t="str">
        <f>IFERROR(_xlfn.XLOOKUP(C_S_Digital[[#This Row],[Momento de ejecución]],C_Momento,C_Efecto,,0),"")</f>
        <v>Impacto</v>
      </c>
      <c r="U185" s="143" t="str">
        <f>IFERROR(IF(C_S_Digital[[#This Row],[Código riesgo]]&lt;&gt;C184,_xlfn.XLOOKUP(C185,R_S_Digital[Código Riesgo],#REF!,,0)*IF(C_S_Digital[[#This Row],[Efecto]]="Probabilidad",1-C_S_Digital[[#This Row],[Peso]],1),IF(C_S_Digital[[#This Row],[Efecto]]="Probabilidad",U184*(1-C_S_Digital[[#This Row],[Peso]]),U184)),"")</f>
        <v/>
      </c>
      <c r="V185" s="144" t="str">
        <f>IFERROR(IF(C_S_Digital[[#This Row],[Código riesgo]]&lt;&gt;C184,_xlfn.XLOOKUP(C_S_Digital[[#This Row],[Código riesgo]],R_S_Digital[Código Riesgo],#REF!,,0)*IF(C_S_Digital[[#This Row],[Efecto]]="Impacto",1-C_S_Digital[[#This Row],[Peso]],1),IF(C_S_Digital[[#This Row],[Efecto]]="Impacto",V184*(1-C_S_Digital[[#This Row],[Peso]]),V184)),"")</f>
        <v/>
      </c>
    </row>
    <row r="186" spans="1:22" x14ac:dyDescent="0.25">
      <c r="A186" s="3">
        <v>181</v>
      </c>
      <c r="B186" s="85">
        <f>Mapa_RSD!B164</f>
        <v>0</v>
      </c>
      <c r="C186" s="136" t="e">
        <f>+R_S_Digital[[#This Row],[Código Riesgo]]</f>
        <v>#VALUE!</v>
      </c>
      <c r="D186" s="2"/>
      <c r="E186" s="141" t="str">
        <f>IF(C_S_Digital[[#This Row],[Responsable de ejecutar]]&lt;&gt;"",CONCATENATE(C_S_Digital[[#This Row],[Código riesgo]],"-",IF(C_S_Digital[[#This Row],[Código riesgo]]&lt;&gt;C185,1,RIGHT(E185,1)+1)),"")</f>
        <v/>
      </c>
      <c r="F186" s="147"/>
      <c r="G186" s="147"/>
      <c r="H186" s="147"/>
      <c r="I186" s="141" t="s">
        <v>105</v>
      </c>
      <c r="J186" s="141" t="s">
        <v>65</v>
      </c>
      <c r="K186" s="3"/>
      <c r="L186" s="3"/>
      <c r="M186" s="3"/>
      <c r="N186" s="3"/>
      <c r="O186" s="2"/>
      <c r="Q186" s="148"/>
      <c r="R186" s="148"/>
      <c r="S186" s="137">
        <f>_xlfn.XLOOKUP(CONCATENATE(C_S_Digital[[#This Row],[Momento de ejecución]],C_S_Digital[[#This Row],[Forma de ejecución]]),C_Atributos,C_Peso,"",0)</f>
        <v>0.25</v>
      </c>
      <c r="T186" s="141" t="str">
        <f>IFERROR(_xlfn.XLOOKUP(C_S_Digital[[#This Row],[Momento de ejecución]],C_Momento,C_Efecto,,0),"")</f>
        <v>Impacto</v>
      </c>
      <c r="U186" s="143" t="str">
        <f>IFERROR(IF(C_S_Digital[[#This Row],[Código riesgo]]&lt;&gt;C185,_xlfn.XLOOKUP(C186,R_S_Digital[Código Riesgo],#REF!,,0)*IF(C_S_Digital[[#This Row],[Efecto]]="Probabilidad",1-C_S_Digital[[#This Row],[Peso]],1),IF(C_S_Digital[[#This Row],[Efecto]]="Probabilidad",U185*(1-C_S_Digital[[#This Row],[Peso]]),U185)),"")</f>
        <v/>
      </c>
      <c r="V186" s="144" t="str">
        <f>IFERROR(IF(C_S_Digital[[#This Row],[Código riesgo]]&lt;&gt;C185,_xlfn.XLOOKUP(C_S_Digital[[#This Row],[Código riesgo]],R_S_Digital[Código Riesgo],#REF!,,0)*IF(C_S_Digital[[#This Row],[Efecto]]="Impacto",1-C_S_Digital[[#This Row],[Peso]],1),IF(C_S_Digital[[#This Row],[Efecto]]="Impacto",V185*(1-C_S_Digital[[#This Row],[Peso]]),V185)),"")</f>
        <v/>
      </c>
    </row>
    <row r="187" spans="1:22" x14ac:dyDescent="0.25">
      <c r="A187" s="3">
        <v>182</v>
      </c>
      <c r="B187" s="85">
        <f>Mapa_RSD!B165</f>
        <v>0</v>
      </c>
      <c r="C187" s="136" t="e">
        <f>+R_S_Digital[[#This Row],[Código Riesgo]]</f>
        <v>#VALUE!</v>
      </c>
      <c r="D187" s="2"/>
      <c r="E187" s="141" t="str">
        <f>IF(C_S_Digital[[#This Row],[Responsable de ejecutar]]&lt;&gt;"",CONCATENATE(C_S_Digital[[#This Row],[Código riesgo]],"-",IF(C_S_Digital[[#This Row],[Código riesgo]]&lt;&gt;C186,1,RIGHT(E186,1)+1)),"")</f>
        <v/>
      </c>
      <c r="F187" s="147"/>
      <c r="G187" s="147"/>
      <c r="H187" s="147"/>
      <c r="I187" s="141" t="s">
        <v>105</v>
      </c>
      <c r="J187" s="141" t="s">
        <v>65</v>
      </c>
      <c r="K187" s="3"/>
      <c r="L187" s="3"/>
      <c r="M187" s="3"/>
      <c r="N187" s="3"/>
      <c r="O187" s="2"/>
      <c r="Q187" s="148"/>
      <c r="R187" s="148"/>
      <c r="S187" s="137">
        <f>_xlfn.XLOOKUP(CONCATENATE(C_S_Digital[[#This Row],[Momento de ejecución]],C_S_Digital[[#This Row],[Forma de ejecución]]),C_Atributos,C_Peso,"",0)</f>
        <v>0.25</v>
      </c>
      <c r="T187" s="141" t="str">
        <f>IFERROR(_xlfn.XLOOKUP(C_S_Digital[[#This Row],[Momento de ejecución]],C_Momento,C_Efecto,,0),"")</f>
        <v>Impacto</v>
      </c>
      <c r="U187" s="143" t="str">
        <f>IFERROR(IF(C_S_Digital[[#This Row],[Código riesgo]]&lt;&gt;C186,_xlfn.XLOOKUP(C187,R_S_Digital[Código Riesgo],#REF!,,0)*IF(C_S_Digital[[#This Row],[Efecto]]="Probabilidad",1-C_S_Digital[[#This Row],[Peso]],1),IF(C_S_Digital[[#This Row],[Efecto]]="Probabilidad",U186*(1-C_S_Digital[[#This Row],[Peso]]),U186)),"")</f>
        <v/>
      </c>
      <c r="V187" s="144" t="str">
        <f>IFERROR(IF(C_S_Digital[[#This Row],[Código riesgo]]&lt;&gt;C186,_xlfn.XLOOKUP(C_S_Digital[[#This Row],[Código riesgo]],R_S_Digital[Código Riesgo],#REF!,,0)*IF(C_S_Digital[[#This Row],[Efecto]]="Impacto",1-C_S_Digital[[#This Row],[Peso]],1),IF(C_S_Digital[[#This Row],[Efecto]]="Impacto",V186*(1-C_S_Digital[[#This Row],[Peso]]),V186)),"")</f>
        <v/>
      </c>
    </row>
    <row r="188" spans="1:22" x14ac:dyDescent="0.25">
      <c r="A188" s="3">
        <v>183</v>
      </c>
      <c r="B188" s="85">
        <f>Mapa_RSD!B166</f>
        <v>0</v>
      </c>
      <c r="C188" s="136" t="e">
        <f>+R_S_Digital[[#This Row],[Código Riesgo]]</f>
        <v>#VALUE!</v>
      </c>
      <c r="D188" s="2"/>
      <c r="E188" s="141" t="str">
        <f>IF(C_S_Digital[[#This Row],[Responsable de ejecutar]]&lt;&gt;"",CONCATENATE(C_S_Digital[[#This Row],[Código riesgo]],"-",IF(C_S_Digital[[#This Row],[Código riesgo]]&lt;&gt;C187,1,RIGHT(E187,1)+1)),"")</f>
        <v/>
      </c>
      <c r="F188" s="147"/>
      <c r="G188" s="147"/>
      <c r="H188" s="147"/>
      <c r="I188" s="141" t="s">
        <v>105</v>
      </c>
      <c r="J188" s="141" t="s">
        <v>65</v>
      </c>
      <c r="K188" s="3"/>
      <c r="L188" s="3"/>
      <c r="M188" s="3"/>
      <c r="N188" s="3"/>
      <c r="O188" s="2"/>
      <c r="Q188" s="148"/>
      <c r="R188" s="148"/>
      <c r="S188" s="137">
        <f>_xlfn.XLOOKUP(CONCATENATE(C_S_Digital[[#This Row],[Momento de ejecución]],C_S_Digital[[#This Row],[Forma de ejecución]]),C_Atributos,C_Peso,"",0)</f>
        <v>0.25</v>
      </c>
      <c r="T188" s="141" t="str">
        <f>IFERROR(_xlfn.XLOOKUP(C_S_Digital[[#This Row],[Momento de ejecución]],C_Momento,C_Efecto,,0),"")</f>
        <v>Impacto</v>
      </c>
      <c r="U188" s="143" t="str">
        <f>IFERROR(IF(C_S_Digital[[#This Row],[Código riesgo]]&lt;&gt;C187,_xlfn.XLOOKUP(C188,R_S_Digital[Código Riesgo],#REF!,,0)*IF(C_S_Digital[[#This Row],[Efecto]]="Probabilidad",1-C_S_Digital[[#This Row],[Peso]],1),IF(C_S_Digital[[#This Row],[Efecto]]="Probabilidad",U187*(1-C_S_Digital[[#This Row],[Peso]]),U187)),"")</f>
        <v/>
      </c>
      <c r="V188" s="144" t="str">
        <f>IFERROR(IF(C_S_Digital[[#This Row],[Código riesgo]]&lt;&gt;C187,_xlfn.XLOOKUP(C_S_Digital[[#This Row],[Código riesgo]],R_S_Digital[Código Riesgo],#REF!,,0)*IF(C_S_Digital[[#This Row],[Efecto]]="Impacto",1-C_S_Digital[[#This Row],[Peso]],1),IF(C_S_Digital[[#This Row],[Efecto]]="Impacto",V187*(1-C_S_Digital[[#This Row],[Peso]]),V187)),"")</f>
        <v/>
      </c>
    </row>
    <row r="189" spans="1:22" x14ac:dyDescent="0.25">
      <c r="A189" s="3">
        <v>184</v>
      </c>
      <c r="B189" s="85">
        <f>Mapa_RSD!B167</f>
        <v>0</v>
      </c>
      <c r="C189" s="136" t="e">
        <f>+R_S_Digital[[#This Row],[Código Riesgo]]</f>
        <v>#VALUE!</v>
      </c>
      <c r="D189" s="2"/>
      <c r="E189" s="141" t="str">
        <f>IF(C_S_Digital[[#This Row],[Responsable de ejecutar]]&lt;&gt;"",CONCATENATE(C_S_Digital[[#This Row],[Código riesgo]],"-",IF(C_S_Digital[[#This Row],[Código riesgo]]&lt;&gt;C188,1,RIGHT(E188,1)+1)),"")</f>
        <v/>
      </c>
      <c r="F189" s="147"/>
      <c r="G189" s="147"/>
      <c r="H189" s="147"/>
      <c r="I189" s="141" t="s">
        <v>105</v>
      </c>
      <c r="J189" s="141" t="s">
        <v>65</v>
      </c>
      <c r="K189" s="3"/>
      <c r="L189" s="3"/>
      <c r="M189" s="3"/>
      <c r="N189" s="3"/>
      <c r="O189" s="2"/>
      <c r="Q189" s="148"/>
      <c r="R189" s="148"/>
      <c r="S189" s="137">
        <f>_xlfn.XLOOKUP(CONCATENATE(C_S_Digital[[#This Row],[Momento de ejecución]],C_S_Digital[[#This Row],[Forma de ejecución]]),C_Atributos,C_Peso,"",0)</f>
        <v>0.25</v>
      </c>
      <c r="T189" s="141" t="str">
        <f>IFERROR(_xlfn.XLOOKUP(C_S_Digital[[#This Row],[Momento de ejecución]],C_Momento,C_Efecto,,0),"")</f>
        <v>Impacto</v>
      </c>
      <c r="U189" s="143" t="str">
        <f>IFERROR(IF(C_S_Digital[[#This Row],[Código riesgo]]&lt;&gt;C188,_xlfn.XLOOKUP(C189,R_S_Digital[Código Riesgo],#REF!,,0)*IF(C_S_Digital[[#This Row],[Efecto]]="Probabilidad",1-C_S_Digital[[#This Row],[Peso]],1),IF(C_S_Digital[[#This Row],[Efecto]]="Probabilidad",U188*(1-C_S_Digital[[#This Row],[Peso]]),U188)),"")</f>
        <v/>
      </c>
      <c r="V189" s="144" t="str">
        <f>IFERROR(IF(C_S_Digital[[#This Row],[Código riesgo]]&lt;&gt;C188,_xlfn.XLOOKUP(C_S_Digital[[#This Row],[Código riesgo]],R_S_Digital[Código Riesgo],#REF!,,0)*IF(C_S_Digital[[#This Row],[Efecto]]="Impacto",1-C_S_Digital[[#This Row],[Peso]],1),IF(C_S_Digital[[#This Row],[Efecto]]="Impacto",V188*(1-C_S_Digital[[#This Row],[Peso]]),V188)),"")</f>
        <v/>
      </c>
    </row>
    <row r="190" spans="1:22" x14ac:dyDescent="0.25">
      <c r="A190" s="3">
        <v>185</v>
      </c>
      <c r="B190" s="85">
        <f>Mapa_RSD!B168</f>
        <v>0</v>
      </c>
      <c r="C190" s="136" t="e">
        <f>+R_S_Digital[[#This Row],[Código Riesgo]]</f>
        <v>#VALUE!</v>
      </c>
      <c r="D190" s="2"/>
      <c r="E190" s="141" t="str">
        <f>IF(C_S_Digital[[#This Row],[Responsable de ejecutar]]&lt;&gt;"",CONCATENATE(C_S_Digital[[#This Row],[Código riesgo]],"-",IF(C_S_Digital[[#This Row],[Código riesgo]]&lt;&gt;C189,1,RIGHT(E189,1)+1)),"")</f>
        <v/>
      </c>
      <c r="F190" s="147"/>
      <c r="G190" s="147"/>
      <c r="H190" s="147"/>
      <c r="I190" s="141" t="s">
        <v>105</v>
      </c>
      <c r="J190" s="141" t="s">
        <v>65</v>
      </c>
      <c r="K190" s="3"/>
      <c r="L190" s="3"/>
      <c r="M190" s="3"/>
      <c r="N190" s="3"/>
      <c r="O190" s="2"/>
      <c r="Q190" s="148"/>
      <c r="R190" s="148"/>
      <c r="S190" s="137">
        <f>_xlfn.XLOOKUP(CONCATENATE(C_S_Digital[[#This Row],[Momento de ejecución]],C_S_Digital[[#This Row],[Forma de ejecución]]),C_Atributos,C_Peso,"",0)</f>
        <v>0.25</v>
      </c>
      <c r="T190" s="141" t="str">
        <f>IFERROR(_xlfn.XLOOKUP(C_S_Digital[[#This Row],[Momento de ejecución]],C_Momento,C_Efecto,,0),"")</f>
        <v>Impacto</v>
      </c>
      <c r="U190" s="143" t="str">
        <f>IFERROR(IF(C_S_Digital[[#This Row],[Código riesgo]]&lt;&gt;C189,_xlfn.XLOOKUP(C190,R_S_Digital[Código Riesgo],#REF!,,0)*IF(C_S_Digital[[#This Row],[Efecto]]="Probabilidad",1-C_S_Digital[[#This Row],[Peso]],1),IF(C_S_Digital[[#This Row],[Efecto]]="Probabilidad",U189*(1-C_S_Digital[[#This Row],[Peso]]),U189)),"")</f>
        <v/>
      </c>
      <c r="V190" s="144" t="str">
        <f>IFERROR(IF(C_S_Digital[[#This Row],[Código riesgo]]&lt;&gt;C189,_xlfn.XLOOKUP(C_S_Digital[[#This Row],[Código riesgo]],R_S_Digital[Código Riesgo],#REF!,,0)*IF(C_S_Digital[[#This Row],[Efecto]]="Impacto",1-C_S_Digital[[#This Row],[Peso]],1),IF(C_S_Digital[[#This Row],[Efecto]]="Impacto",V189*(1-C_S_Digital[[#This Row],[Peso]]),V189)),"")</f>
        <v/>
      </c>
    </row>
    <row r="191" spans="1:22" x14ac:dyDescent="0.25">
      <c r="A191" s="3">
        <v>186</v>
      </c>
      <c r="B191" s="85">
        <f>Mapa_RSD!B169</f>
        <v>0</v>
      </c>
      <c r="C191" s="136" t="e">
        <f>+R_S_Digital[[#This Row],[Código Riesgo]]</f>
        <v>#VALUE!</v>
      </c>
      <c r="D191" s="2"/>
      <c r="E191" s="141" t="str">
        <f>IF(C_S_Digital[[#This Row],[Responsable de ejecutar]]&lt;&gt;"",CONCATENATE(C_S_Digital[[#This Row],[Código riesgo]],"-",IF(C_S_Digital[[#This Row],[Código riesgo]]&lt;&gt;C190,1,RIGHT(E190,1)+1)),"")</f>
        <v/>
      </c>
      <c r="F191" s="147"/>
      <c r="G191" s="147"/>
      <c r="H191" s="147"/>
      <c r="I191" s="141" t="s">
        <v>105</v>
      </c>
      <c r="J191" s="141" t="s">
        <v>65</v>
      </c>
      <c r="K191" s="3"/>
      <c r="L191" s="3"/>
      <c r="M191" s="3"/>
      <c r="N191" s="3"/>
      <c r="O191" s="2"/>
      <c r="Q191" s="148"/>
      <c r="R191" s="148"/>
      <c r="S191" s="137">
        <f>_xlfn.XLOOKUP(CONCATENATE(C_S_Digital[[#This Row],[Momento de ejecución]],C_S_Digital[[#This Row],[Forma de ejecución]]),C_Atributos,C_Peso,"",0)</f>
        <v>0.25</v>
      </c>
      <c r="T191" s="141" t="str">
        <f>IFERROR(_xlfn.XLOOKUP(C_S_Digital[[#This Row],[Momento de ejecución]],C_Momento,C_Efecto,,0),"")</f>
        <v>Impacto</v>
      </c>
      <c r="U191" s="143" t="str">
        <f>IFERROR(IF(C_S_Digital[[#This Row],[Código riesgo]]&lt;&gt;C190,_xlfn.XLOOKUP(C191,R_S_Digital[Código Riesgo],#REF!,,0)*IF(C_S_Digital[[#This Row],[Efecto]]="Probabilidad",1-C_S_Digital[[#This Row],[Peso]],1),IF(C_S_Digital[[#This Row],[Efecto]]="Probabilidad",U190*(1-C_S_Digital[[#This Row],[Peso]]),U190)),"")</f>
        <v/>
      </c>
      <c r="V191" s="144" t="str">
        <f>IFERROR(IF(C_S_Digital[[#This Row],[Código riesgo]]&lt;&gt;C190,_xlfn.XLOOKUP(C_S_Digital[[#This Row],[Código riesgo]],R_S_Digital[Código Riesgo],#REF!,,0)*IF(C_S_Digital[[#This Row],[Efecto]]="Impacto",1-C_S_Digital[[#This Row],[Peso]],1),IF(C_S_Digital[[#This Row],[Efecto]]="Impacto",V190*(1-C_S_Digital[[#This Row],[Peso]]),V190)),"")</f>
        <v/>
      </c>
    </row>
    <row r="192" spans="1:22" x14ac:dyDescent="0.25">
      <c r="A192" s="3">
        <v>187</v>
      </c>
      <c r="B192" s="85">
        <f>Mapa_RSD!B170</f>
        <v>0</v>
      </c>
      <c r="C192" s="136" t="e">
        <f>+R_S_Digital[[#This Row],[Código Riesgo]]</f>
        <v>#VALUE!</v>
      </c>
      <c r="D192" s="2"/>
      <c r="E192" s="141" t="str">
        <f>IF(C_S_Digital[[#This Row],[Responsable de ejecutar]]&lt;&gt;"",CONCATENATE(C_S_Digital[[#This Row],[Código riesgo]],"-",IF(C_S_Digital[[#This Row],[Código riesgo]]&lt;&gt;C191,1,RIGHT(E191,1)+1)),"")</f>
        <v/>
      </c>
      <c r="F192" s="147"/>
      <c r="G192" s="147"/>
      <c r="H192" s="147"/>
      <c r="I192" s="141" t="s">
        <v>105</v>
      </c>
      <c r="J192" s="141" t="s">
        <v>65</v>
      </c>
      <c r="K192" s="3"/>
      <c r="L192" s="3"/>
      <c r="M192" s="3"/>
      <c r="N192" s="3"/>
      <c r="O192" s="2"/>
      <c r="Q192" s="148"/>
      <c r="R192" s="148"/>
      <c r="S192" s="137">
        <f>_xlfn.XLOOKUP(CONCATENATE(C_S_Digital[[#This Row],[Momento de ejecución]],C_S_Digital[[#This Row],[Forma de ejecución]]),C_Atributos,C_Peso,"",0)</f>
        <v>0.25</v>
      </c>
      <c r="T192" s="141" t="str">
        <f>IFERROR(_xlfn.XLOOKUP(C_S_Digital[[#This Row],[Momento de ejecución]],C_Momento,C_Efecto,,0),"")</f>
        <v>Impacto</v>
      </c>
      <c r="U192" s="143" t="str">
        <f>IFERROR(IF(C_S_Digital[[#This Row],[Código riesgo]]&lt;&gt;C191,_xlfn.XLOOKUP(C192,R_S_Digital[Código Riesgo],#REF!,,0)*IF(C_S_Digital[[#This Row],[Efecto]]="Probabilidad",1-C_S_Digital[[#This Row],[Peso]],1),IF(C_S_Digital[[#This Row],[Efecto]]="Probabilidad",U191*(1-C_S_Digital[[#This Row],[Peso]]),U191)),"")</f>
        <v/>
      </c>
      <c r="V192" s="144" t="str">
        <f>IFERROR(IF(C_S_Digital[[#This Row],[Código riesgo]]&lt;&gt;C191,_xlfn.XLOOKUP(C_S_Digital[[#This Row],[Código riesgo]],R_S_Digital[Código Riesgo],#REF!,,0)*IF(C_S_Digital[[#This Row],[Efecto]]="Impacto",1-C_S_Digital[[#This Row],[Peso]],1),IF(C_S_Digital[[#This Row],[Efecto]]="Impacto",V191*(1-C_S_Digital[[#This Row],[Peso]]),V191)),"")</f>
        <v/>
      </c>
    </row>
    <row r="193" spans="1:22" x14ac:dyDescent="0.25">
      <c r="A193" s="3">
        <v>188</v>
      </c>
      <c r="B193" s="85">
        <f>Mapa_RSD!B171</f>
        <v>0</v>
      </c>
      <c r="C193" s="136" t="e">
        <f>+R_S_Digital[[#This Row],[Código Riesgo]]</f>
        <v>#VALUE!</v>
      </c>
      <c r="D193" s="2"/>
      <c r="E193" s="141" t="str">
        <f>IF(C_S_Digital[[#This Row],[Responsable de ejecutar]]&lt;&gt;"",CONCATENATE(C_S_Digital[[#This Row],[Código riesgo]],"-",IF(C_S_Digital[[#This Row],[Código riesgo]]&lt;&gt;C192,1,RIGHT(E192,1)+1)),"")</f>
        <v/>
      </c>
      <c r="F193" s="147"/>
      <c r="G193" s="147"/>
      <c r="H193" s="147"/>
      <c r="I193" s="141" t="s">
        <v>105</v>
      </c>
      <c r="J193" s="141" t="s">
        <v>65</v>
      </c>
      <c r="K193" s="3"/>
      <c r="L193" s="3"/>
      <c r="M193" s="3"/>
      <c r="N193" s="3"/>
      <c r="O193" s="2"/>
      <c r="Q193" s="148"/>
      <c r="R193" s="148"/>
      <c r="S193" s="137">
        <f>_xlfn.XLOOKUP(CONCATENATE(C_S_Digital[[#This Row],[Momento de ejecución]],C_S_Digital[[#This Row],[Forma de ejecución]]),C_Atributos,C_Peso,"",0)</f>
        <v>0.25</v>
      </c>
      <c r="T193" s="141" t="str">
        <f>IFERROR(_xlfn.XLOOKUP(C_S_Digital[[#This Row],[Momento de ejecución]],C_Momento,C_Efecto,,0),"")</f>
        <v>Impacto</v>
      </c>
      <c r="U193" s="143" t="str">
        <f>IFERROR(IF(C_S_Digital[[#This Row],[Código riesgo]]&lt;&gt;C192,_xlfn.XLOOKUP(C193,R_S_Digital[Código Riesgo],#REF!,,0)*IF(C_S_Digital[[#This Row],[Efecto]]="Probabilidad",1-C_S_Digital[[#This Row],[Peso]],1),IF(C_S_Digital[[#This Row],[Efecto]]="Probabilidad",U192*(1-C_S_Digital[[#This Row],[Peso]]),U192)),"")</f>
        <v/>
      </c>
      <c r="V193" s="144" t="str">
        <f>IFERROR(IF(C_S_Digital[[#This Row],[Código riesgo]]&lt;&gt;C192,_xlfn.XLOOKUP(C_S_Digital[[#This Row],[Código riesgo]],R_S_Digital[Código Riesgo],#REF!,,0)*IF(C_S_Digital[[#This Row],[Efecto]]="Impacto",1-C_S_Digital[[#This Row],[Peso]],1),IF(C_S_Digital[[#This Row],[Efecto]]="Impacto",V192*(1-C_S_Digital[[#This Row],[Peso]]),V192)),"")</f>
        <v/>
      </c>
    </row>
    <row r="194" spans="1:22" x14ac:dyDescent="0.25">
      <c r="A194" s="3">
        <v>189</v>
      </c>
      <c r="B194" s="85">
        <f>Mapa_RSD!B172</f>
        <v>0</v>
      </c>
      <c r="C194" s="136" t="e">
        <f>+R_S_Digital[[#This Row],[Código Riesgo]]</f>
        <v>#VALUE!</v>
      </c>
      <c r="D194" s="2"/>
      <c r="E194" s="141" t="str">
        <f>IF(C_S_Digital[[#This Row],[Responsable de ejecutar]]&lt;&gt;"",CONCATENATE(C_S_Digital[[#This Row],[Código riesgo]],"-",IF(C_S_Digital[[#This Row],[Código riesgo]]&lt;&gt;C193,1,RIGHT(E193,1)+1)),"")</f>
        <v/>
      </c>
      <c r="F194" s="147"/>
      <c r="G194" s="147"/>
      <c r="H194" s="147"/>
      <c r="I194" s="141" t="s">
        <v>105</v>
      </c>
      <c r="J194" s="141" t="s">
        <v>65</v>
      </c>
      <c r="K194" s="3"/>
      <c r="L194" s="3"/>
      <c r="M194" s="3"/>
      <c r="N194" s="3"/>
      <c r="O194" s="2"/>
      <c r="Q194" s="148"/>
      <c r="R194" s="148"/>
      <c r="S194" s="137">
        <f>_xlfn.XLOOKUP(CONCATENATE(C_S_Digital[[#This Row],[Momento de ejecución]],C_S_Digital[[#This Row],[Forma de ejecución]]),C_Atributos,C_Peso,"",0)</f>
        <v>0.25</v>
      </c>
      <c r="T194" s="141" t="str">
        <f>IFERROR(_xlfn.XLOOKUP(C_S_Digital[[#This Row],[Momento de ejecución]],C_Momento,C_Efecto,,0),"")</f>
        <v>Impacto</v>
      </c>
      <c r="U194" s="143" t="str">
        <f>IFERROR(IF(C_S_Digital[[#This Row],[Código riesgo]]&lt;&gt;C193,_xlfn.XLOOKUP(C194,R_S_Digital[Código Riesgo],#REF!,,0)*IF(C_S_Digital[[#This Row],[Efecto]]="Probabilidad",1-C_S_Digital[[#This Row],[Peso]],1),IF(C_S_Digital[[#This Row],[Efecto]]="Probabilidad",U193*(1-C_S_Digital[[#This Row],[Peso]]),U193)),"")</f>
        <v/>
      </c>
      <c r="V194" s="144" t="str">
        <f>IFERROR(IF(C_S_Digital[[#This Row],[Código riesgo]]&lt;&gt;C193,_xlfn.XLOOKUP(C_S_Digital[[#This Row],[Código riesgo]],R_S_Digital[Código Riesgo],#REF!,,0)*IF(C_S_Digital[[#This Row],[Efecto]]="Impacto",1-C_S_Digital[[#This Row],[Peso]],1),IF(C_S_Digital[[#This Row],[Efecto]]="Impacto",V193*(1-C_S_Digital[[#This Row],[Peso]]),V193)),"")</f>
        <v/>
      </c>
    </row>
    <row r="195" spans="1:22" x14ac:dyDescent="0.25">
      <c r="A195" s="3">
        <v>190</v>
      </c>
      <c r="B195" s="85">
        <f>Mapa_RSD!B173</f>
        <v>0</v>
      </c>
      <c r="C195" s="136" t="e">
        <f>+R_S_Digital[[#This Row],[Código Riesgo]]</f>
        <v>#VALUE!</v>
      </c>
      <c r="D195" s="2"/>
      <c r="E195" s="141" t="str">
        <f>IF(C_S_Digital[[#This Row],[Responsable de ejecutar]]&lt;&gt;"",CONCATENATE(C_S_Digital[[#This Row],[Código riesgo]],"-",IF(C_S_Digital[[#This Row],[Código riesgo]]&lt;&gt;C194,1,RIGHT(E194,1)+1)),"")</f>
        <v/>
      </c>
      <c r="F195" s="147"/>
      <c r="G195" s="147"/>
      <c r="H195" s="147"/>
      <c r="I195" s="141" t="s">
        <v>105</v>
      </c>
      <c r="J195" s="141" t="s">
        <v>65</v>
      </c>
      <c r="K195" s="3"/>
      <c r="L195" s="3"/>
      <c r="M195" s="3"/>
      <c r="N195" s="3"/>
      <c r="O195" s="2"/>
      <c r="Q195" s="148"/>
      <c r="R195" s="148"/>
      <c r="S195" s="137">
        <f>_xlfn.XLOOKUP(CONCATENATE(C_S_Digital[[#This Row],[Momento de ejecución]],C_S_Digital[[#This Row],[Forma de ejecución]]),C_Atributos,C_Peso,"",0)</f>
        <v>0.25</v>
      </c>
      <c r="T195" s="141" t="str">
        <f>IFERROR(_xlfn.XLOOKUP(C_S_Digital[[#This Row],[Momento de ejecución]],C_Momento,C_Efecto,,0),"")</f>
        <v>Impacto</v>
      </c>
      <c r="U195" s="143" t="str">
        <f>IFERROR(IF(C_S_Digital[[#This Row],[Código riesgo]]&lt;&gt;C194,_xlfn.XLOOKUP(C195,R_S_Digital[Código Riesgo],#REF!,,0)*IF(C_S_Digital[[#This Row],[Efecto]]="Probabilidad",1-C_S_Digital[[#This Row],[Peso]],1),IF(C_S_Digital[[#This Row],[Efecto]]="Probabilidad",U194*(1-C_S_Digital[[#This Row],[Peso]]),U194)),"")</f>
        <v/>
      </c>
      <c r="V195" s="144" t="str">
        <f>IFERROR(IF(C_S_Digital[[#This Row],[Código riesgo]]&lt;&gt;C194,_xlfn.XLOOKUP(C_S_Digital[[#This Row],[Código riesgo]],R_S_Digital[Código Riesgo],#REF!,,0)*IF(C_S_Digital[[#This Row],[Efecto]]="Impacto",1-C_S_Digital[[#This Row],[Peso]],1),IF(C_S_Digital[[#This Row],[Efecto]]="Impacto",V194*(1-C_S_Digital[[#This Row],[Peso]]),V194)),"")</f>
        <v/>
      </c>
    </row>
    <row r="196" spans="1:22" x14ac:dyDescent="0.25">
      <c r="A196" s="3">
        <v>191</v>
      </c>
      <c r="B196" s="85">
        <f>Mapa_RSD!B174</f>
        <v>0</v>
      </c>
      <c r="C196" s="136" t="e">
        <f>+R_S_Digital[[#This Row],[Código Riesgo]]</f>
        <v>#VALUE!</v>
      </c>
      <c r="D196" s="2"/>
      <c r="E196" s="141" t="str">
        <f>IF(C_S_Digital[[#This Row],[Responsable de ejecutar]]&lt;&gt;"",CONCATENATE(C_S_Digital[[#This Row],[Código riesgo]],"-",IF(C_S_Digital[[#This Row],[Código riesgo]]&lt;&gt;C195,1,RIGHT(E195,1)+1)),"")</f>
        <v/>
      </c>
      <c r="F196" s="147"/>
      <c r="G196" s="147"/>
      <c r="H196" s="147"/>
      <c r="I196" s="141" t="s">
        <v>105</v>
      </c>
      <c r="J196" s="141" t="s">
        <v>65</v>
      </c>
      <c r="K196" s="3"/>
      <c r="L196" s="3"/>
      <c r="M196" s="3"/>
      <c r="N196" s="3"/>
      <c r="O196" s="2"/>
      <c r="Q196" s="148"/>
      <c r="R196" s="148"/>
      <c r="S196" s="137">
        <f>_xlfn.XLOOKUP(CONCATENATE(C_S_Digital[[#This Row],[Momento de ejecución]],C_S_Digital[[#This Row],[Forma de ejecución]]),C_Atributos,C_Peso,"",0)</f>
        <v>0.25</v>
      </c>
      <c r="T196" s="141" t="str">
        <f>IFERROR(_xlfn.XLOOKUP(C_S_Digital[[#This Row],[Momento de ejecución]],C_Momento,C_Efecto,,0),"")</f>
        <v>Impacto</v>
      </c>
      <c r="U196" s="143" t="str">
        <f>IFERROR(IF(C_S_Digital[[#This Row],[Código riesgo]]&lt;&gt;C195,_xlfn.XLOOKUP(C196,R_S_Digital[Código Riesgo],#REF!,,0)*IF(C_S_Digital[[#This Row],[Efecto]]="Probabilidad",1-C_S_Digital[[#This Row],[Peso]],1),IF(C_S_Digital[[#This Row],[Efecto]]="Probabilidad",U195*(1-C_S_Digital[[#This Row],[Peso]]),U195)),"")</f>
        <v/>
      </c>
      <c r="V196" s="144" t="str">
        <f>IFERROR(IF(C_S_Digital[[#This Row],[Código riesgo]]&lt;&gt;C195,_xlfn.XLOOKUP(C_S_Digital[[#This Row],[Código riesgo]],R_S_Digital[Código Riesgo],#REF!,,0)*IF(C_S_Digital[[#This Row],[Efecto]]="Impacto",1-C_S_Digital[[#This Row],[Peso]],1),IF(C_S_Digital[[#This Row],[Efecto]]="Impacto",V195*(1-C_S_Digital[[#This Row],[Peso]]),V195)),"")</f>
        <v/>
      </c>
    </row>
    <row r="197" spans="1:22" x14ac:dyDescent="0.25">
      <c r="A197" s="3">
        <v>192</v>
      </c>
      <c r="B197" s="85">
        <f>Mapa_RSD!B175</f>
        <v>0</v>
      </c>
      <c r="C197" s="136" t="e">
        <f>+R_S_Digital[[#This Row],[Código Riesgo]]</f>
        <v>#VALUE!</v>
      </c>
      <c r="D197" s="2"/>
      <c r="E197" s="141" t="str">
        <f>IF(C_S_Digital[[#This Row],[Responsable de ejecutar]]&lt;&gt;"",CONCATENATE(C_S_Digital[[#This Row],[Código riesgo]],"-",IF(C_S_Digital[[#This Row],[Código riesgo]]&lt;&gt;C196,1,RIGHT(E196,1)+1)),"")</f>
        <v/>
      </c>
      <c r="F197" s="147"/>
      <c r="G197" s="147"/>
      <c r="H197" s="147"/>
      <c r="I197" s="141" t="s">
        <v>105</v>
      </c>
      <c r="J197" s="141" t="s">
        <v>65</v>
      </c>
      <c r="K197" s="3"/>
      <c r="L197" s="3"/>
      <c r="M197" s="3"/>
      <c r="N197" s="3"/>
      <c r="O197" s="2"/>
      <c r="Q197" s="148"/>
      <c r="R197" s="148"/>
      <c r="S197" s="137">
        <f>_xlfn.XLOOKUP(CONCATENATE(C_S_Digital[[#This Row],[Momento de ejecución]],C_S_Digital[[#This Row],[Forma de ejecución]]),C_Atributos,C_Peso,"",0)</f>
        <v>0.25</v>
      </c>
      <c r="T197" s="141" t="str">
        <f>IFERROR(_xlfn.XLOOKUP(C_S_Digital[[#This Row],[Momento de ejecución]],C_Momento,C_Efecto,,0),"")</f>
        <v>Impacto</v>
      </c>
      <c r="U197" s="143" t="str">
        <f>IFERROR(IF(C_S_Digital[[#This Row],[Código riesgo]]&lt;&gt;C196,_xlfn.XLOOKUP(C197,R_S_Digital[Código Riesgo],#REF!,,0)*IF(C_S_Digital[[#This Row],[Efecto]]="Probabilidad",1-C_S_Digital[[#This Row],[Peso]],1),IF(C_S_Digital[[#This Row],[Efecto]]="Probabilidad",U196*(1-C_S_Digital[[#This Row],[Peso]]),U196)),"")</f>
        <v/>
      </c>
      <c r="V197" s="144" t="str">
        <f>IFERROR(IF(C_S_Digital[[#This Row],[Código riesgo]]&lt;&gt;C196,_xlfn.XLOOKUP(C_S_Digital[[#This Row],[Código riesgo]],R_S_Digital[Código Riesgo],#REF!,,0)*IF(C_S_Digital[[#This Row],[Efecto]]="Impacto",1-C_S_Digital[[#This Row],[Peso]],1),IF(C_S_Digital[[#This Row],[Efecto]]="Impacto",V196*(1-C_S_Digital[[#This Row],[Peso]]),V196)),"")</f>
        <v/>
      </c>
    </row>
    <row r="198" spans="1:22" x14ac:dyDescent="0.25">
      <c r="A198" s="3">
        <v>193</v>
      </c>
      <c r="B198" s="85">
        <f>Mapa_RSD!B176</f>
        <v>0</v>
      </c>
      <c r="C198" s="136" t="e">
        <f>+R_S_Digital[[#This Row],[Código Riesgo]]</f>
        <v>#VALUE!</v>
      </c>
      <c r="D198" s="2"/>
      <c r="E198" s="141" t="str">
        <f>IF(C_S_Digital[[#This Row],[Responsable de ejecutar]]&lt;&gt;"",CONCATENATE(C_S_Digital[[#This Row],[Código riesgo]],"-",IF(C_S_Digital[[#This Row],[Código riesgo]]&lt;&gt;C197,1,RIGHT(E197,1)+1)),"")</f>
        <v/>
      </c>
      <c r="F198" s="147"/>
      <c r="G198" s="147"/>
      <c r="H198" s="147"/>
      <c r="I198" s="141" t="s">
        <v>105</v>
      </c>
      <c r="J198" s="141" t="s">
        <v>65</v>
      </c>
      <c r="K198" s="3"/>
      <c r="L198" s="3"/>
      <c r="M198" s="3"/>
      <c r="N198" s="3"/>
      <c r="O198" s="2"/>
      <c r="Q198" s="148"/>
      <c r="R198" s="148"/>
      <c r="S198" s="137">
        <f>_xlfn.XLOOKUP(CONCATENATE(C_S_Digital[[#This Row],[Momento de ejecución]],C_S_Digital[[#This Row],[Forma de ejecución]]),C_Atributos,C_Peso,"",0)</f>
        <v>0.25</v>
      </c>
      <c r="T198" s="141" t="str">
        <f>IFERROR(_xlfn.XLOOKUP(C_S_Digital[[#This Row],[Momento de ejecución]],C_Momento,C_Efecto,,0),"")</f>
        <v>Impacto</v>
      </c>
      <c r="U198" s="143" t="str">
        <f>IFERROR(IF(C_S_Digital[[#This Row],[Código riesgo]]&lt;&gt;C197,_xlfn.XLOOKUP(C198,R_S_Digital[Código Riesgo],#REF!,,0)*IF(C_S_Digital[[#This Row],[Efecto]]="Probabilidad",1-C_S_Digital[[#This Row],[Peso]],1),IF(C_S_Digital[[#This Row],[Efecto]]="Probabilidad",U197*(1-C_S_Digital[[#This Row],[Peso]]),U197)),"")</f>
        <v/>
      </c>
      <c r="V198" s="144" t="str">
        <f>IFERROR(IF(C_S_Digital[[#This Row],[Código riesgo]]&lt;&gt;C197,_xlfn.XLOOKUP(C_S_Digital[[#This Row],[Código riesgo]],R_S_Digital[Código Riesgo],#REF!,,0)*IF(C_S_Digital[[#This Row],[Efecto]]="Impacto",1-C_S_Digital[[#This Row],[Peso]],1),IF(C_S_Digital[[#This Row],[Efecto]]="Impacto",V197*(1-C_S_Digital[[#This Row],[Peso]]),V197)),"")</f>
        <v/>
      </c>
    </row>
    <row r="199" spans="1:22" x14ac:dyDescent="0.25">
      <c r="A199" s="3">
        <v>194</v>
      </c>
      <c r="B199" s="85">
        <f>Mapa_RSD!B177</f>
        <v>0</v>
      </c>
      <c r="C199" s="136" t="e">
        <f>+R_S_Digital[[#This Row],[Código Riesgo]]</f>
        <v>#VALUE!</v>
      </c>
      <c r="D199" s="2"/>
      <c r="E199" s="141" t="str">
        <f>IF(C_S_Digital[[#This Row],[Responsable de ejecutar]]&lt;&gt;"",CONCATENATE(C_S_Digital[[#This Row],[Código riesgo]],"-",IF(C_S_Digital[[#This Row],[Código riesgo]]&lt;&gt;C198,1,RIGHT(E198,1)+1)),"")</f>
        <v/>
      </c>
      <c r="F199" s="147"/>
      <c r="G199" s="147"/>
      <c r="H199" s="147"/>
      <c r="I199" s="141" t="s">
        <v>105</v>
      </c>
      <c r="J199" s="141" t="s">
        <v>65</v>
      </c>
      <c r="K199" s="3"/>
      <c r="L199" s="3"/>
      <c r="M199" s="3"/>
      <c r="N199" s="3"/>
      <c r="O199" s="2"/>
      <c r="Q199" s="148"/>
      <c r="R199" s="148"/>
      <c r="S199" s="137">
        <f>_xlfn.XLOOKUP(CONCATENATE(C_S_Digital[[#This Row],[Momento de ejecución]],C_S_Digital[[#This Row],[Forma de ejecución]]),C_Atributos,C_Peso,"",0)</f>
        <v>0.25</v>
      </c>
      <c r="T199" s="141" t="str">
        <f>IFERROR(_xlfn.XLOOKUP(C_S_Digital[[#This Row],[Momento de ejecución]],C_Momento,C_Efecto,,0),"")</f>
        <v>Impacto</v>
      </c>
      <c r="U199" s="143" t="str">
        <f>IFERROR(IF(C_S_Digital[[#This Row],[Código riesgo]]&lt;&gt;C198,_xlfn.XLOOKUP(C199,R_S_Digital[Código Riesgo],#REF!,,0)*IF(C_S_Digital[[#This Row],[Efecto]]="Probabilidad",1-C_S_Digital[[#This Row],[Peso]],1),IF(C_S_Digital[[#This Row],[Efecto]]="Probabilidad",U198*(1-C_S_Digital[[#This Row],[Peso]]),U198)),"")</f>
        <v/>
      </c>
      <c r="V199" s="144" t="str">
        <f>IFERROR(IF(C_S_Digital[[#This Row],[Código riesgo]]&lt;&gt;C198,_xlfn.XLOOKUP(C_S_Digital[[#This Row],[Código riesgo]],R_S_Digital[Código Riesgo],#REF!,,0)*IF(C_S_Digital[[#This Row],[Efecto]]="Impacto",1-C_S_Digital[[#This Row],[Peso]],1),IF(C_S_Digital[[#This Row],[Efecto]]="Impacto",V198*(1-C_S_Digital[[#This Row],[Peso]]),V198)),"")</f>
        <v/>
      </c>
    </row>
    <row r="200" spans="1:22" x14ac:dyDescent="0.25">
      <c r="A200" s="3">
        <v>195</v>
      </c>
      <c r="B200" s="85">
        <f>Mapa_RSD!B178</f>
        <v>0</v>
      </c>
      <c r="C200" s="136" t="e">
        <f>+R_S_Digital[[#This Row],[Código Riesgo]]</f>
        <v>#VALUE!</v>
      </c>
      <c r="D200" s="2"/>
      <c r="E200" s="141" t="str">
        <f>IF(C_S_Digital[[#This Row],[Responsable de ejecutar]]&lt;&gt;"",CONCATENATE(C_S_Digital[[#This Row],[Código riesgo]],"-",IF(C_S_Digital[[#This Row],[Código riesgo]]&lt;&gt;C199,1,RIGHT(E199,1)+1)),"")</f>
        <v/>
      </c>
      <c r="F200" s="147"/>
      <c r="G200" s="147"/>
      <c r="H200" s="147"/>
      <c r="I200" s="141" t="s">
        <v>105</v>
      </c>
      <c r="J200" s="141" t="s">
        <v>65</v>
      </c>
      <c r="K200" s="3"/>
      <c r="L200" s="3"/>
      <c r="M200" s="3"/>
      <c r="N200" s="3"/>
      <c r="O200" s="2"/>
      <c r="Q200" s="148"/>
      <c r="R200" s="148"/>
      <c r="S200" s="137">
        <f>_xlfn.XLOOKUP(CONCATENATE(C_S_Digital[[#This Row],[Momento de ejecución]],C_S_Digital[[#This Row],[Forma de ejecución]]),C_Atributos,C_Peso,"",0)</f>
        <v>0.25</v>
      </c>
      <c r="T200" s="141" t="str">
        <f>IFERROR(_xlfn.XLOOKUP(C_S_Digital[[#This Row],[Momento de ejecución]],C_Momento,C_Efecto,,0),"")</f>
        <v>Impacto</v>
      </c>
      <c r="U200" s="143" t="str">
        <f>IFERROR(IF(C_S_Digital[[#This Row],[Código riesgo]]&lt;&gt;C199,_xlfn.XLOOKUP(C200,R_S_Digital[Código Riesgo],#REF!,,0)*IF(C_S_Digital[[#This Row],[Efecto]]="Probabilidad",1-C_S_Digital[[#This Row],[Peso]],1),IF(C_S_Digital[[#This Row],[Efecto]]="Probabilidad",U199*(1-C_S_Digital[[#This Row],[Peso]]),U199)),"")</f>
        <v/>
      </c>
      <c r="V200" s="144" t="str">
        <f>IFERROR(IF(C_S_Digital[[#This Row],[Código riesgo]]&lt;&gt;C199,_xlfn.XLOOKUP(C_S_Digital[[#This Row],[Código riesgo]],R_S_Digital[Código Riesgo],#REF!,,0)*IF(C_S_Digital[[#This Row],[Efecto]]="Impacto",1-C_S_Digital[[#This Row],[Peso]],1),IF(C_S_Digital[[#This Row],[Efecto]]="Impacto",V199*(1-C_S_Digital[[#This Row],[Peso]]),V199)),"")</f>
        <v/>
      </c>
    </row>
    <row r="201" spans="1:22" x14ac:dyDescent="0.25">
      <c r="A201" s="3">
        <v>196</v>
      </c>
      <c r="B201" s="85">
        <f>Mapa_RSD!B179</f>
        <v>0</v>
      </c>
      <c r="C201" s="136" t="e">
        <f>+R_S_Digital[[#This Row],[Código Riesgo]]</f>
        <v>#VALUE!</v>
      </c>
      <c r="D201" s="2"/>
      <c r="E201" s="141" t="str">
        <f>IF(C_S_Digital[[#This Row],[Responsable de ejecutar]]&lt;&gt;"",CONCATENATE(C_S_Digital[[#This Row],[Código riesgo]],"-",IF(C_S_Digital[[#This Row],[Código riesgo]]&lt;&gt;C200,1,RIGHT(E200,1)+1)),"")</f>
        <v/>
      </c>
      <c r="F201" s="147"/>
      <c r="G201" s="147"/>
      <c r="H201" s="147"/>
      <c r="I201" s="141" t="s">
        <v>105</v>
      </c>
      <c r="J201" s="141" t="s">
        <v>65</v>
      </c>
      <c r="K201" s="3"/>
      <c r="L201" s="3"/>
      <c r="M201" s="3"/>
      <c r="N201" s="3"/>
      <c r="O201" s="2"/>
      <c r="Q201" s="148"/>
      <c r="R201" s="148"/>
      <c r="S201" s="137">
        <f>_xlfn.XLOOKUP(CONCATENATE(C_S_Digital[[#This Row],[Momento de ejecución]],C_S_Digital[[#This Row],[Forma de ejecución]]),C_Atributos,C_Peso,"",0)</f>
        <v>0.25</v>
      </c>
      <c r="T201" s="141" t="str">
        <f>IFERROR(_xlfn.XLOOKUP(C_S_Digital[[#This Row],[Momento de ejecución]],C_Momento,C_Efecto,,0),"")</f>
        <v>Impacto</v>
      </c>
      <c r="U201" s="143" t="str">
        <f>IFERROR(IF(C_S_Digital[[#This Row],[Código riesgo]]&lt;&gt;C200,_xlfn.XLOOKUP(C201,R_S_Digital[Código Riesgo],#REF!,,0)*IF(C_S_Digital[[#This Row],[Efecto]]="Probabilidad",1-C_S_Digital[[#This Row],[Peso]],1),IF(C_S_Digital[[#This Row],[Efecto]]="Probabilidad",U200*(1-C_S_Digital[[#This Row],[Peso]]),U200)),"")</f>
        <v/>
      </c>
      <c r="V201" s="144" t="str">
        <f>IFERROR(IF(C_S_Digital[[#This Row],[Código riesgo]]&lt;&gt;C200,_xlfn.XLOOKUP(C_S_Digital[[#This Row],[Código riesgo]],R_S_Digital[Código Riesgo],#REF!,,0)*IF(C_S_Digital[[#This Row],[Efecto]]="Impacto",1-C_S_Digital[[#This Row],[Peso]],1),IF(C_S_Digital[[#This Row],[Efecto]]="Impacto",V200*(1-C_S_Digital[[#This Row],[Peso]]),V200)),"")</f>
        <v/>
      </c>
    </row>
    <row r="202" spans="1:22" x14ac:dyDescent="0.25">
      <c r="A202" s="3">
        <v>197</v>
      </c>
      <c r="B202" s="85">
        <f>Mapa_RSD!B180</f>
        <v>0</v>
      </c>
      <c r="C202" s="136" t="e">
        <f>+R_S_Digital[[#This Row],[Código Riesgo]]</f>
        <v>#VALUE!</v>
      </c>
      <c r="D202" s="2"/>
      <c r="E202" s="141" t="str">
        <f>IF(C_S_Digital[[#This Row],[Responsable de ejecutar]]&lt;&gt;"",CONCATENATE(C_S_Digital[[#This Row],[Código riesgo]],"-",IF(C_S_Digital[[#This Row],[Código riesgo]]&lt;&gt;C201,1,RIGHT(E201,1)+1)),"")</f>
        <v/>
      </c>
      <c r="F202" s="147"/>
      <c r="G202" s="147"/>
      <c r="H202" s="147"/>
      <c r="I202" s="141" t="s">
        <v>105</v>
      </c>
      <c r="J202" s="141" t="s">
        <v>65</v>
      </c>
      <c r="K202" s="3"/>
      <c r="L202" s="3"/>
      <c r="M202" s="3"/>
      <c r="N202" s="3"/>
      <c r="O202" s="2"/>
      <c r="Q202" s="148"/>
      <c r="R202" s="148"/>
      <c r="S202" s="137">
        <f>_xlfn.XLOOKUP(CONCATENATE(C_S_Digital[[#This Row],[Momento de ejecución]],C_S_Digital[[#This Row],[Forma de ejecución]]),C_Atributos,C_Peso,"",0)</f>
        <v>0.25</v>
      </c>
      <c r="T202" s="141" t="str">
        <f>IFERROR(_xlfn.XLOOKUP(C_S_Digital[[#This Row],[Momento de ejecución]],C_Momento,C_Efecto,,0),"")</f>
        <v>Impacto</v>
      </c>
      <c r="U202" s="143" t="str">
        <f>IFERROR(IF(C_S_Digital[[#This Row],[Código riesgo]]&lt;&gt;C201,_xlfn.XLOOKUP(C202,R_S_Digital[Código Riesgo],#REF!,,0)*IF(C_S_Digital[[#This Row],[Efecto]]="Probabilidad",1-C_S_Digital[[#This Row],[Peso]],1),IF(C_S_Digital[[#This Row],[Efecto]]="Probabilidad",U201*(1-C_S_Digital[[#This Row],[Peso]]),U201)),"")</f>
        <v/>
      </c>
      <c r="V202" s="144" t="str">
        <f>IFERROR(IF(C_S_Digital[[#This Row],[Código riesgo]]&lt;&gt;C201,_xlfn.XLOOKUP(C_S_Digital[[#This Row],[Código riesgo]],R_S_Digital[Código Riesgo],#REF!,,0)*IF(C_S_Digital[[#This Row],[Efecto]]="Impacto",1-C_S_Digital[[#This Row],[Peso]],1),IF(C_S_Digital[[#This Row],[Efecto]]="Impacto",V201*(1-C_S_Digital[[#This Row],[Peso]]),V201)),"")</f>
        <v/>
      </c>
    </row>
    <row r="203" spans="1:22" x14ac:dyDescent="0.25">
      <c r="A203" s="3">
        <v>198</v>
      </c>
      <c r="B203" s="85">
        <f>Mapa_RSD!B181</f>
        <v>0</v>
      </c>
      <c r="C203" s="136" t="e">
        <f>+R_S_Digital[[#This Row],[Código Riesgo]]</f>
        <v>#VALUE!</v>
      </c>
      <c r="D203" s="2"/>
      <c r="E203" s="141" t="str">
        <f>IF(C_S_Digital[[#This Row],[Responsable de ejecutar]]&lt;&gt;"",CONCATENATE(C_S_Digital[[#This Row],[Código riesgo]],"-",IF(C_S_Digital[[#This Row],[Código riesgo]]&lt;&gt;C202,1,RIGHT(E202,1)+1)),"")</f>
        <v/>
      </c>
      <c r="F203" s="147"/>
      <c r="G203" s="147"/>
      <c r="H203" s="147"/>
      <c r="I203" s="141" t="s">
        <v>105</v>
      </c>
      <c r="J203" s="141" t="s">
        <v>65</v>
      </c>
      <c r="K203" s="3"/>
      <c r="L203" s="3"/>
      <c r="M203" s="3"/>
      <c r="N203" s="3"/>
      <c r="O203" s="2"/>
      <c r="Q203" s="148"/>
      <c r="R203" s="148"/>
      <c r="S203" s="137">
        <f>_xlfn.XLOOKUP(CONCATENATE(C_S_Digital[[#This Row],[Momento de ejecución]],C_S_Digital[[#This Row],[Forma de ejecución]]),C_Atributos,C_Peso,"",0)</f>
        <v>0.25</v>
      </c>
      <c r="T203" s="141" t="str">
        <f>IFERROR(_xlfn.XLOOKUP(C_S_Digital[[#This Row],[Momento de ejecución]],C_Momento,C_Efecto,,0),"")</f>
        <v>Impacto</v>
      </c>
      <c r="U203" s="143" t="str">
        <f>IFERROR(IF(C_S_Digital[[#This Row],[Código riesgo]]&lt;&gt;C202,_xlfn.XLOOKUP(C203,R_S_Digital[Código Riesgo],#REF!,,0)*IF(C_S_Digital[[#This Row],[Efecto]]="Probabilidad",1-C_S_Digital[[#This Row],[Peso]],1),IF(C_S_Digital[[#This Row],[Efecto]]="Probabilidad",U202*(1-C_S_Digital[[#This Row],[Peso]]),U202)),"")</f>
        <v/>
      </c>
      <c r="V203" s="144" t="str">
        <f>IFERROR(IF(C_S_Digital[[#This Row],[Código riesgo]]&lt;&gt;C202,_xlfn.XLOOKUP(C_S_Digital[[#This Row],[Código riesgo]],R_S_Digital[Código Riesgo],#REF!,,0)*IF(C_S_Digital[[#This Row],[Efecto]]="Impacto",1-C_S_Digital[[#This Row],[Peso]],1),IF(C_S_Digital[[#This Row],[Efecto]]="Impacto",V202*(1-C_S_Digital[[#This Row],[Peso]]),V202)),"")</f>
        <v/>
      </c>
    </row>
    <row r="204" spans="1:22" x14ac:dyDescent="0.25">
      <c r="A204" s="3">
        <v>199</v>
      </c>
      <c r="B204" s="85">
        <f>Mapa_RSD!B182</f>
        <v>0</v>
      </c>
      <c r="C204" s="136" t="e">
        <f>+R_S_Digital[[#This Row],[Código Riesgo]]</f>
        <v>#VALUE!</v>
      </c>
      <c r="D204" s="2"/>
      <c r="E204" s="141" t="str">
        <f>IF(C_S_Digital[[#This Row],[Responsable de ejecutar]]&lt;&gt;"",CONCATENATE(C_S_Digital[[#This Row],[Código riesgo]],"-",IF(C_S_Digital[[#This Row],[Código riesgo]]&lt;&gt;C203,1,RIGHT(E203,1)+1)),"")</f>
        <v/>
      </c>
      <c r="F204" s="147"/>
      <c r="G204" s="147"/>
      <c r="H204" s="147"/>
      <c r="I204" s="141" t="s">
        <v>105</v>
      </c>
      <c r="J204" s="141" t="s">
        <v>65</v>
      </c>
      <c r="K204" s="3"/>
      <c r="L204" s="3"/>
      <c r="M204" s="3"/>
      <c r="N204" s="3"/>
      <c r="O204" s="2"/>
      <c r="Q204" s="148"/>
      <c r="R204" s="148"/>
      <c r="S204" s="137">
        <f>_xlfn.XLOOKUP(CONCATENATE(C_S_Digital[[#This Row],[Momento de ejecución]],C_S_Digital[[#This Row],[Forma de ejecución]]),C_Atributos,C_Peso,"",0)</f>
        <v>0.25</v>
      </c>
      <c r="T204" s="141" t="str">
        <f>IFERROR(_xlfn.XLOOKUP(C_S_Digital[[#This Row],[Momento de ejecución]],C_Momento,C_Efecto,,0),"")</f>
        <v>Impacto</v>
      </c>
      <c r="U204" s="143" t="str">
        <f>IFERROR(IF(C_S_Digital[[#This Row],[Código riesgo]]&lt;&gt;C203,_xlfn.XLOOKUP(C204,R_S_Digital[Código Riesgo],#REF!,,0)*IF(C_S_Digital[[#This Row],[Efecto]]="Probabilidad",1-C_S_Digital[[#This Row],[Peso]],1),IF(C_S_Digital[[#This Row],[Efecto]]="Probabilidad",U203*(1-C_S_Digital[[#This Row],[Peso]]),U203)),"")</f>
        <v/>
      </c>
      <c r="V204" s="144" t="str">
        <f>IFERROR(IF(C_S_Digital[[#This Row],[Código riesgo]]&lt;&gt;C203,_xlfn.XLOOKUP(C_S_Digital[[#This Row],[Código riesgo]],R_S_Digital[Código Riesgo],#REF!,,0)*IF(C_S_Digital[[#This Row],[Efecto]]="Impacto",1-C_S_Digital[[#This Row],[Peso]],1),IF(C_S_Digital[[#This Row],[Efecto]]="Impacto",V203*(1-C_S_Digital[[#This Row],[Peso]]),V203)),"")</f>
        <v/>
      </c>
    </row>
    <row r="205" spans="1:22" x14ac:dyDescent="0.25">
      <c r="A205" s="3">
        <v>200</v>
      </c>
      <c r="B205" s="85">
        <f>Mapa_RSD!B183</f>
        <v>0</v>
      </c>
      <c r="C205" s="136" t="e">
        <f>+R_S_Digital[[#This Row],[Código Riesgo]]</f>
        <v>#VALUE!</v>
      </c>
      <c r="D205" s="2"/>
      <c r="E205" s="141" t="str">
        <f>IF(C_S_Digital[[#This Row],[Responsable de ejecutar]]&lt;&gt;"",CONCATENATE(C_S_Digital[[#This Row],[Código riesgo]],"-",IF(C_S_Digital[[#This Row],[Código riesgo]]&lt;&gt;C204,1,RIGHT(E204,1)+1)),"")</f>
        <v/>
      </c>
      <c r="F205" s="147"/>
      <c r="G205" s="147"/>
      <c r="H205" s="147"/>
      <c r="I205" s="141" t="s">
        <v>105</v>
      </c>
      <c r="J205" s="141" t="s">
        <v>65</v>
      </c>
      <c r="K205" s="3"/>
      <c r="L205" s="3"/>
      <c r="M205" s="3"/>
      <c r="N205" s="3"/>
      <c r="O205" s="2"/>
      <c r="Q205" s="148"/>
      <c r="R205" s="148"/>
      <c r="S205" s="137">
        <f>_xlfn.XLOOKUP(CONCATENATE(C_S_Digital[[#This Row],[Momento de ejecución]],C_S_Digital[[#This Row],[Forma de ejecución]]),C_Atributos,C_Peso,"",0)</f>
        <v>0.25</v>
      </c>
      <c r="T205" s="141" t="str">
        <f>IFERROR(_xlfn.XLOOKUP(C_S_Digital[[#This Row],[Momento de ejecución]],C_Momento,C_Efecto,,0),"")</f>
        <v>Impacto</v>
      </c>
      <c r="U205" s="143" t="str">
        <f>IFERROR(IF(C_S_Digital[[#This Row],[Código riesgo]]&lt;&gt;C204,_xlfn.XLOOKUP(C205,R_S_Digital[Código Riesgo],#REF!,,0)*IF(C_S_Digital[[#This Row],[Efecto]]="Probabilidad",1-C_S_Digital[[#This Row],[Peso]],1),IF(C_S_Digital[[#This Row],[Efecto]]="Probabilidad",U204*(1-C_S_Digital[[#This Row],[Peso]]),U204)),"")</f>
        <v/>
      </c>
      <c r="V205" s="144" t="str">
        <f>IFERROR(IF(C_S_Digital[[#This Row],[Código riesgo]]&lt;&gt;C204,_xlfn.XLOOKUP(C_S_Digital[[#This Row],[Código riesgo]],R_S_Digital[Código Riesgo],#REF!,,0)*IF(C_S_Digital[[#This Row],[Efecto]]="Impacto",1-C_S_Digital[[#This Row],[Peso]],1),IF(C_S_Digital[[#This Row],[Efecto]]="Impacto",V204*(1-C_S_Digital[[#This Row],[Peso]]),V204)),"")</f>
        <v/>
      </c>
    </row>
    <row r="206" spans="1:22" x14ac:dyDescent="0.25">
      <c r="A206" s="3">
        <v>201</v>
      </c>
      <c r="B206" s="85">
        <f>Mapa_RSD!B184</f>
        <v>0</v>
      </c>
      <c r="C206" s="136" t="e">
        <f>+R_S_Digital[[#This Row],[Código Riesgo]]</f>
        <v>#VALUE!</v>
      </c>
      <c r="D206" s="2"/>
      <c r="E206" s="141" t="str">
        <f>IF(C_S_Digital[[#This Row],[Responsable de ejecutar]]&lt;&gt;"",CONCATENATE(C_S_Digital[[#This Row],[Código riesgo]],"-",IF(C_S_Digital[[#This Row],[Código riesgo]]&lt;&gt;C205,1,RIGHT(E205,1)+1)),"")</f>
        <v/>
      </c>
      <c r="F206" s="147"/>
      <c r="G206" s="147"/>
      <c r="H206" s="147"/>
      <c r="I206" s="141" t="s">
        <v>105</v>
      </c>
      <c r="J206" s="141" t="s">
        <v>65</v>
      </c>
      <c r="K206" s="3"/>
      <c r="L206" s="3"/>
      <c r="M206" s="3"/>
      <c r="N206" s="3"/>
      <c r="O206" s="2"/>
      <c r="Q206" s="148"/>
      <c r="R206" s="148"/>
      <c r="S206" s="137">
        <f>_xlfn.XLOOKUP(CONCATENATE(C_S_Digital[[#This Row],[Momento de ejecución]],C_S_Digital[[#This Row],[Forma de ejecución]]),C_Atributos,C_Peso,"",0)</f>
        <v>0.25</v>
      </c>
      <c r="T206" s="141" t="str">
        <f>IFERROR(_xlfn.XLOOKUP(C_S_Digital[[#This Row],[Momento de ejecución]],C_Momento,C_Efecto,,0),"")</f>
        <v>Impacto</v>
      </c>
      <c r="U206" s="143" t="str">
        <f>IFERROR(IF(C_S_Digital[[#This Row],[Código riesgo]]&lt;&gt;C205,_xlfn.XLOOKUP(C206,R_S_Digital[Código Riesgo],#REF!,,0)*IF(C_S_Digital[[#This Row],[Efecto]]="Probabilidad",1-C_S_Digital[[#This Row],[Peso]],1),IF(C_S_Digital[[#This Row],[Efecto]]="Probabilidad",U205*(1-C_S_Digital[[#This Row],[Peso]]),U205)),"")</f>
        <v/>
      </c>
      <c r="V206" s="144" t="str">
        <f>IFERROR(IF(C_S_Digital[[#This Row],[Código riesgo]]&lt;&gt;C205,_xlfn.XLOOKUP(C_S_Digital[[#This Row],[Código riesgo]],R_S_Digital[Código Riesgo],#REF!,,0)*IF(C_S_Digital[[#This Row],[Efecto]]="Impacto",1-C_S_Digital[[#This Row],[Peso]],1),IF(C_S_Digital[[#This Row],[Efecto]]="Impacto",V205*(1-C_S_Digital[[#This Row],[Peso]]),V205)),"")</f>
        <v/>
      </c>
    </row>
    <row r="207" spans="1:22" x14ac:dyDescent="0.25">
      <c r="A207" s="3">
        <v>202</v>
      </c>
      <c r="B207" s="85">
        <f>Mapa_RSD!B185</f>
        <v>0</v>
      </c>
      <c r="C207" s="136" t="e">
        <f>+R_S_Digital[[#This Row],[Código Riesgo]]</f>
        <v>#VALUE!</v>
      </c>
      <c r="D207" s="2"/>
      <c r="E207" s="141" t="str">
        <f>IF(C_S_Digital[[#This Row],[Responsable de ejecutar]]&lt;&gt;"",CONCATENATE(C_S_Digital[[#This Row],[Código riesgo]],"-",IF(C_S_Digital[[#This Row],[Código riesgo]]&lt;&gt;C206,1,RIGHT(E206,1)+1)),"")</f>
        <v/>
      </c>
      <c r="F207" s="147"/>
      <c r="G207" s="147"/>
      <c r="H207" s="147"/>
      <c r="I207" s="141" t="s">
        <v>105</v>
      </c>
      <c r="J207" s="141" t="s">
        <v>65</v>
      </c>
      <c r="K207" s="3"/>
      <c r="L207" s="3"/>
      <c r="M207" s="3"/>
      <c r="N207" s="3"/>
      <c r="O207" s="2"/>
      <c r="Q207" s="148"/>
      <c r="R207" s="148"/>
      <c r="S207" s="137">
        <f>_xlfn.XLOOKUP(CONCATENATE(C_S_Digital[[#This Row],[Momento de ejecución]],C_S_Digital[[#This Row],[Forma de ejecución]]),C_Atributos,C_Peso,"",0)</f>
        <v>0.25</v>
      </c>
      <c r="T207" s="141" t="str">
        <f>IFERROR(_xlfn.XLOOKUP(C_S_Digital[[#This Row],[Momento de ejecución]],C_Momento,C_Efecto,,0),"")</f>
        <v>Impacto</v>
      </c>
      <c r="U207" s="143" t="str">
        <f>IFERROR(IF(C_S_Digital[[#This Row],[Código riesgo]]&lt;&gt;C206,_xlfn.XLOOKUP(C207,R_S_Digital[Código Riesgo],#REF!,,0)*IF(C_S_Digital[[#This Row],[Efecto]]="Probabilidad",1-C_S_Digital[[#This Row],[Peso]],1),IF(C_S_Digital[[#This Row],[Efecto]]="Probabilidad",U206*(1-C_S_Digital[[#This Row],[Peso]]),U206)),"")</f>
        <v/>
      </c>
      <c r="V207" s="144" t="str">
        <f>IFERROR(IF(C_S_Digital[[#This Row],[Código riesgo]]&lt;&gt;C206,_xlfn.XLOOKUP(C_S_Digital[[#This Row],[Código riesgo]],R_S_Digital[Código Riesgo],#REF!,,0)*IF(C_S_Digital[[#This Row],[Efecto]]="Impacto",1-C_S_Digital[[#This Row],[Peso]],1),IF(C_S_Digital[[#This Row],[Efecto]]="Impacto",V206*(1-C_S_Digital[[#This Row],[Peso]]),V206)),"")</f>
        <v/>
      </c>
    </row>
    <row r="208" spans="1:22" x14ac:dyDescent="0.25">
      <c r="A208" s="3">
        <v>203</v>
      </c>
      <c r="B208" s="85">
        <f>Mapa_RSD!B186</f>
        <v>0</v>
      </c>
      <c r="C208" s="136" t="e">
        <f>+R_S_Digital[[#This Row],[Código Riesgo]]</f>
        <v>#VALUE!</v>
      </c>
      <c r="D208" s="2"/>
      <c r="E208" s="141" t="str">
        <f>IF(C_S_Digital[[#This Row],[Responsable de ejecutar]]&lt;&gt;"",CONCATENATE(C_S_Digital[[#This Row],[Código riesgo]],"-",IF(C_S_Digital[[#This Row],[Código riesgo]]&lt;&gt;C207,1,RIGHT(E207,1)+1)),"")</f>
        <v/>
      </c>
      <c r="F208" s="147"/>
      <c r="G208" s="147"/>
      <c r="H208" s="147"/>
      <c r="I208" s="141" t="s">
        <v>105</v>
      </c>
      <c r="J208" s="141" t="s">
        <v>65</v>
      </c>
      <c r="K208" s="3"/>
      <c r="L208" s="3"/>
      <c r="M208" s="3"/>
      <c r="N208" s="3"/>
      <c r="O208" s="2"/>
      <c r="Q208" s="148"/>
      <c r="R208" s="148"/>
      <c r="S208" s="137">
        <f>_xlfn.XLOOKUP(CONCATENATE(C_S_Digital[[#This Row],[Momento de ejecución]],C_S_Digital[[#This Row],[Forma de ejecución]]),C_Atributos,C_Peso,"",0)</f>
        <v>0.25</v>
      </c>
      <c r="T208" s="141" t="str">
        <f>IFERROR(_xlfn.XLOOKUP(C_S_Digital[[#This Row],[Momento de ejecución]],C_Momento,C_Efecto,,0),"")</f>
        <v>Impacto</v>
      </c>
      <c r="U208" s="143" t="str">
        <f>IFERROR(IF(C_S_Digital[[#This Row],[Código riesgo]]&lt;&gt;C207,_xlfn.XLOOKUP(C208,R_S_Digital[Código Riesgo],#REF!,,0)*IF(C_S_Digital[[#This Row],[Efecto]]="Probabilidad",1-C_S_Digital[[#This Row],[Peso]],1),IF(C_S_Digital[[#This Row],[Efecto]]="Probabilidad",U207*(1-C_S_Digital[[#This Row],[Peso]]),U207)),"")</f>
        <v/>
      </c>
      <c r="V208" s="144" t="str">
        <f>IFERROR(IF(C_S_Digital[[#This Row],[Código riesgo]]&lt;&gt;C207,_xlfn.XLOOKUP(C_S_Digital[[#This Row],[Código riesgo]],R_S_Digital[Código Riesgo],#REF!,,0)*IF(C_S_Digital[[#This Row],[Efecto]]="Impacto",1-C_S_Digital[[#This Row],[Peso]],1),IF(C_S_Digital[[#This Row],[Efecto]]="Impacto",V207*(1-C_S_Digital[[#This Row],[Peso]]),V207)),"")</f>
        <v/>
      </c>
    </row>
    <row r="209" spans="1:22" x14ac:dyDescent="0.25">
      <c r="A209" s="3">
        <v>204</v>
      </c>
      <c r="B209" s="85">
        <f>Mapa_RSD!B187</f>
        <v>0</v>
      </c>
      <c r="C209" s="136" t="e">
        <f>+R_S_Digital[[#This Row],[Código Riesgo]]</f>
        <v>#VALUE!</v>
      </c>
      <c r="D209" s="2"/>
      <c r="E209" s="141" t="str">
        <f>IF(C_S_Digital[[#This Row],[Responsable de ejecutar]]&lt;&gt;"",CONCATENATE(C_S_Digital[[#This Row],[Código riesgo]],"-",IF(C_S_Digital[[#This Row],[Código riesgo]]&lt;&gt;C208,1,RIGHT(E208,1)+1)),"")</f>
        <v/>
      </c>
      <c r="F209" s="147"/>
      <c r="G209" s="147"/>
      <c r="H209" s="147"/>
      <c r="I209" s="141" t="s">
        <v>105</v>
      </c>
      <c r="J209" s="141" t="s">
        <v>65</v>
      </c>
      <c r="K209" s="3"/>
      <c r="L209" s="3"/>
      <c r="M209" s="3"/>
      <c r="N209" s="3"/>
      <c r="O209" s="2"/>
      <c r="Q209" s="148"/>
      <c r="R209" s="148"/>
      <c r="S209" s="137">
        <f>_xlfn.XLOOKUP(CONCATENATE(C_S_Digital[[#This Row],[Momento de ejecución]],C_S_Digital[[#This Row],[Forma de ejecución]]),C_Atributos,C_Peso,"",0)</f>
        <v>0.25</v>
      </c>
      <c r="T209" s="141" t="str">
        <f>IFERROR(_xlfn.XLOOKUP(C_S_Digital[[#This Row],[Momento de ejecución]],C_Momento,C_Efecto,,0),"")</f>
        <v>Impacto</v>
      </c>
      <c r="U209" s="143" t="str">
        <f>IFERROR(IF(C_S_Digital[[#This Row],[Código riesgo]]&lt;&gt;C208,_xlfn.XLOOKUP(C209,R_S_Digital[Código Riesgo],#REF!,,0)*IF(C_S_Digital[[#This Row],[Efecto]]="Probabilidad",1-C_S_Digital[[#This Row],[Peso]],1),IF(C_S_Digital[[#This Row],[Efecto]]="Probabilidad",U208*(1-C_S_Digital[[#This Row],[Peso]]),U208)),"")</f>
        <v/>
      </c>
      <c r="V209" s="144" t="str">
        <f>IFERROR(IF(C_S_Digital[[#This Row],[Código riesgo]]&lt;&gt;C208,_xlfn.XLOOKUP(C_S_Digital[[#This Row],[Código riesgo]],R_S_Digital[Código Riesgo],#REF!,,0)*IF(C_S_Digital[[#This Row],[Efecto]]="Impacto",1-C_S_Digital[[#This Row],[Peso]],1),IF(C_S_Digital[[#This Row],[Efecto]]="Impacto",V208*(1-C_S_Digital[[#This Row],[Peso]]),V208)),"")</f>
        <v/>
      </c>
    </row>
    <row r="210" spans="1:22" x14ac:dyDescent="0.25">
      <c r="A210" s="3">
        <v>205</v>
      </c>
      <c r="B210" s="85">
        <f>Mapa_RSD!B188</f>
        <v>0</v>
      </c>
      <c r="C210" s="136" t="e">
        <f>+R_S_Digital[[#This Row],[Código Riesgo]]</f>
        <v>#VALUE!</v>
      </c>
      <c r="D210" s="2"/>
      <c r="E210" s="141" t="str">
        <f>IF(C_S_Digital[[#This Row],[Responsable de ejecutar]]&lt;&gt;"",CONCATENATE(C_S_Digital[[#This Row],[Código riesgo]],"-",IF(C_S_Digital[[#This Row],[Código riesgo]]&lt;&gt;C209,1,RIGHT(E209,1)+1)),"")</f>
        <v/>
      </c>
      <c r="F210" s="147"/>
      <c r="G210" s="147"/>
      <c r="H210" s="147"/>
      <c r="I210" s="141" t="s">
        <v>105</v>
      </c>
      <c r="J210" s="141" t="s">
        <v>65</v>
      </c>
      <c r="K210" s="3"/>
      <c r="L210" s="3"/>
      <c r="M210" s="3"/>
      <c r="N210" s="3"/>
      <c r="O210" s="2"/>
      <c r="Q210" s="148"/>
      <c r="R210" s="148"/>
      <c r="S210" s="137">
        <f>_xlfn.XLOOKUP(CONCATENATE(C_S_Digital[[#This Row],[Momento de ejecución]],C_S_Digital[[#This Row],[Forma de ejecución]]),C_Atributos,C_Peso,"",0)</f>
        <v>0.25</v>
      </c>
      <c r="T210" s="141" t="str">
        <f>IFERROR(_xlfn.XLOOKUP(C_S_Digital[[#This Row],[Momento de ejecución]],C_Momento,C_Efecto,,0),"")</f>
        <v>Impacto</v>
      </c>
      <c r="U210" s="143" t="str">
        <f>IFERROR(IF(C_S_Digital[[#This Row],[Código riesgo]]&lt;&gt;C209,_xlfn.XLOOKUP(C210,R_S_Digital[Código Riesgo],#REF!,,0)*IF(C_S_Digital[[#This Row],[Efecto]]="Probabilidad",1-C_S_Digital[[#This Row],[Peso]],1),IF(C_S_Digital[[#This Row],[Efecto]]="Probabilidad",U209*(1-C_S_Digital[[#This Row],[Peso]]),U209)),"")</f>
        <v/>
      </c>
      <c r="V210" s="144" t="str">
        <f>IFERROR(IF(C_S_Digital[[#This Row],[Código riesgo]]&lt;&gt;C209,_xlfn.XLOOKUP(C_S_Digital[[#This Row],[Código riesgo]],R_S_Digital[Código Riesgo],#REF!,,0)*IF(C_S_Digital[[#This Row],[Efecto]]="Impacto",1-C_S_Digital[[#This Row],[Peso]],1),IF(C_S_Digital[[#This Row],[Efecto]]="Impacto",V209*(1-C_S_Digital[[#This Row],[Peso]]),V209)),"")</f>
        <v/>
      </c>
    </row>
    <row r="211" spans="1:22" x14ac:dyDescent="0.25">
      <c r="A211" s="3">
        <v>206</v>
      </c>
      <c r="B211" s="85">
        <f>Mapa_RSD!B189</f>
        <v>0</v>
      </c>
      <c r="C211" s="136" t="e">
        <f>+R_S_Digital[[#This Row],[Código Riesgo]]</f>
        <v>#VALUE!</v>
      </c>
      <c r="D211" s="2"/>
      <c r="E211" s="141" t="str">
        <f>IF(C_S_Digital[[#This Row],[Responsable de ejecutar]]&lt;&gt;"",CONCATENATE(C_S_Digital[[#This Row],[Código riesgo]],"-",IF(C_S_Digital[[#This Row],[Código riesgo]]&lt;&gt;C210,1,RIGHT(E210,1)+1)),"")</f>
        <v/>
      </c>
      <c r="F211" s="147"/>
      <c r="G211" s="147"/>
      <c r="H211" s="147"/>
      <c r="I211" s="141" t="s">
        <v>105</v>
      </c>
      <c r="J211" s="141" t="s">
        <v>65</v>
      </c>
      <c r="K211" s="3"/>
      <c r="L211" s="3"/>
      <c r="M211" s="3"/>
      <c r="N211" s="3"/>
      <c r="O211" s="2"/>
      <c r="Q211" s="148"/>
      <c r="R211" s="148"/>
      <c r="S211" s="137">
        <f>_xlfn.XLOOKUP(CONCATENATE(C_S_Digital[[#This Row],[Momento de ejecución]],C_S_Digital[[#This Row],[Forma de ejecución]]),C_Atributos,C_Peso,"",0)</f>
        <v>0.25</v>
      </c>
      <c r="T211" s="141" t="str">
        <f>IFERROR(_xlfn.XLOOKUP(C_S_Digital[[#This Row],[Momento de ejecución]],C_Momento,C_Efecto,,0),"")</f>
        <v>Impacto</v>
      </c>
      <c r="U211" s="143" t="str">
        <f>IFERROR(IF(C_S_Digital[[#This Row],[Código riesgo]]&lt;&gt;C210,_xlfn.XLOOKUP(C211,R_S_Digital[Código Riesgo],#REF!,,0)*IF(C_S_Digital[[#This Row],[Efecto]]="Probabilidad",1-C_S_Digital[[#This Row],[Peso]],1),IF(C_S_Digital[[#This Row],[Efecto]]="Probabilidad",U210*(1-C_S_Digital[[#This Row],[Peso]]),U210)),"")</f>
        <v/>
      </c>
      <c r="V211" s="144" t="str">
        <f>IFERROR(IF(C_S_Digital[[#This Row],[Código riesgo]]&lt;&gt;C210,_xlfn.XLOOKUP(C_S_Digital[[#This Row],[Código riesgo]],R_S_Digital[Código Riesgo],#REF!,,0)*IF(C_S_Digital[[#This Row],[Efecto]]="Impacto",1-C_S_Digital[[#This Row],[Peso]],1),IF(C_S_Digital[[#This Row],[Efecto]]="Impacto",V210*(1-C_S_Digital[[#This Row],[Peso]]),V210)),"")</f>
        <v/>
      </c>
    </row>
    <row r="212" spans="1:22" x14ac:dyDescent="0.25">
      <c r="A212" s="3">
        <v>207</v>
      </c>
      <c r="B212" s="85">
        <f>Mapa_RSD!B190</f>
        <v>0</v>
      </c>
      <c r="C212" s="136" t="e">
        <f>+R_S_Digital[[#This Row],[Código Riesgo]]</f>
        <v>#VALUE!</v>
      </c>
      <c r="D212" s="2"/>
      <c r="E212" s="141" t="str">
        <f>IF(C_S_Digital[[#This Row],[Responsable de ejecutar]]&lt;&gt;"",CONCATENATE(C_S_Digital[[#This Row],[Código riesgo]],"-",IF(C_S_Digital[[#This Row],[Código riesgo]]&lt;&gt;C211,1,RIGHT(E211,1)+1)),"")</f>
        <v/>
      </c>
      <c r="F212" s="147"/>
      <c r="G212" s="147"/>
      <c r="H212" s="147"/>
      <c r="I212" s="141" t="s">
        <v>105</v>
      </c>
      <c r="J212" s="141" t="s">
        <v>65</v>
      </c>
      <c r="K212" s="3"/>
      <c r="L212" s="3"/>
      <c r="M212" s="3"/>
      <c r="N212" s="3"/>
      <c r="O212" s="2"/>
      <c r="Q212" s="148"/>
      <c r="R212" s="148"/>
      <c r="S212" s="137">
        <f>_xlfn.XLOOKUP(CONCATENATE(C_S_Digital[[#This Row],[Momento de ejecución]],C_S_Digital[[#This Row],[Forma de ejecución]]),C_Atributos,C_Peso,"",0)</f>
        <v>0.25</v>
      </c>
      <c r="T212" s="141" t="str">
        <f>IFERROR(_xlfn.XLOOKUP(C_S_Digital[[#This Row],[Momento de ejecución]],C_Momento,C_Efecto,,0),"")</f>
        <v>Impacto</v>
      </c>
      <c r="U212" s="143" t="str">
        <f>IFERROR(IF(C_S_Digital[[#This Row],[Código riesgo]]&lt;&gt;C211,_xlfn.XLOOKUP(C212,R_S_Digital[Código Riesgo],#REF!,,0)*IF(C_S_Digital[[#This Row],[Efecto]]="Probabilidad",1-C_S_Digital[[#This Row],[Peso]],1),IF(C_S_Digital[[#This Row],[Efecto]]="Probabilidad",U211*(1-C_S_Digital[[#This Row],[Peso]]),U211)),"")</f>
        <v/>
      </c>
      <c r="V212" s="144" t="str">
        <f>IFERROR(IF(C_S_Digital[[#This Row],[Código riesgo]]&lt;&gt;C211,_xlfn.XLOOKUP(C_S_Digital[[#This Row],[Código riesgo]],R_S_Digital[Código Riesgo],#REF!,,0)*IF(C_S_Digital[[#This Row],[Efecto]]="Impacto",1-C_S_Digital[[#This Row],[Peso]],1),IF(C_S_Digital[[#This Row],[Efecto]]="Impacto",V211*(1-C_S_Digital[[#This Row],[Peso]]),V211)),"")</f>
        <v/>
      </c>
    </row>
    <row r="213" spans="1:22" x14ac:dyDescent="0.25">
      <c r="A213" s="3">
        <v>208</v>
      </c>
      <c r="B213" s="85">
        <f>Mapa_RSD!B191</f>
        <v>0</v>
      </c>
      <c r="C213" s="136" t="e">
        <f>+R_S_Digital[[#This Row],[Código Riesgo]]</f>
        <v>#VALUE!</v>
      </c>
      <c r="D213" s="2"/>
      <c r="E213" s="141" t="str">
        <f>IF(C_S_Digital[[#This Row],[Responsable de ejecutar]]&lt;&gt;"",CONCATENATE(C_S_Digital[[#This Row],[Código riesgo]],"-",IF(C_S_Digital[[#This Row],[Código riesgo]]&lt;&gt;C212,1,RIGHT(E212,1)+1)),"")</f>
        <v/>
      </c>
      <c r="F213" s="147"/>
      <c r="G213" s="147"/>
      <c r="H213" s="147"/>
      <c r="I213" s="141" t="s">
        <v>105</v>
      </c>
      <c r="J213" s="141" t="s">
        <v>65</v>
      </c>
      <c r="K213" s="3"/>
      <c r="L213" s="3"/>
      <c r="M213" s="3"/>
      <c r="N213" s="3"/>
      <c r="O213" s="2"/>
      <c r="Q213" s="148"/>
      <c r="R213" s="148"/>
      <c r="S213" s="137">
        <f>_xlfn.XLOOKUP(CONCATENATE(C_S_Digital[[#This Row],[Momento de ejecución]],C_S_Digital[[#This Row],[Forma de ejecución]]),C_Atributos,C_Peso,"",0)</f>
        <v>0.25</v>
      </c>
      <c r="T213" s="141" t="str">
        <f>IFERROR(_xlfn.XLOOKUP(C_S_Digital[[#This Row],[Momento de ejecución]],C_Momento,C_Efecto,,0),"")</f>
        <v>Impacto</v>
      </c>
      <c r="U213" s="143" t="str">
        <f>IFERROR(IF(C_S_Digital[[#This Row],[Código riesgo]]&lt;&gt;C212,_xlfn.XLOOKUP(C213,R_S_Digital[Código Riesgo],#REF!,,0)*IF(C_S_Digital[[#This Row],[Efecto]]="Probabilidad",1-C_S_Digital[[#This Row],[Peso]],1),IF(C_S_Digital[[#This Row],[Efecto]]="Probabilidad",U212*(1-C_S_Digital[[#This Row],[Peso]]),U212)),"")</f>
        <v/>
      </c>
      <c r="V213" s="144" t="str">
        <f>IFERROR(IF(C_S_Digital[[#This Row],[Código riesgo]]&lt;&gt;C212,_xlfn.XLOOKUP(C_S_Digital[[#This Row],[Código riesgo]],R_S_Digital[Código Riesgo],#REF!,,0)*IF(C_S_Digital[[#This Row],[Efecto]]="Impacto",1-C_S_Digital[[#This Row],[Peso]],1),IF(C_S_Digital[[#This Row],[Efecto]]="Impacto",V212*(1-C_S_Digital[[#This Row],[Peso]]),V212)),"")</f>
        <v/>
      </c>
    </row>
    <row r="214" spans="1:22" x14ac:dyDescent="0.25">
      <c r="A214" s="3">
        <v>209</v>
      </c>
      <c r="B214" s="85">
        <f>Mapa_RSD!B192</f>
        <v>0</v>
      </c>
      <c r="C214" s="136" t="e">
        <f>+R_S_Digital[[#This Row],[Código Riesgo]]</f>
        <v>#VALUE!</v>
      </c>
      <c r="D214" s="2"/>
      <c r="E214" s="141" t="str">
        <f>IF(C_S_Digital[[#This Row],[Responsable de ejecutar]]&lt;&gt;"",CONCATENATE(C_S_Digital[[#This Row],[Código riesgo]],"-",IF(C_S_Digital[[#This Row],[Código riesgo]]&lt;&gt;C213,1,RIGHT(E213,1)+1)),"")</f>
        <v/>
      </c>
      <c r="F214" s="147"/>
      <c r="G214" s="147"/>
      <c r="H214" s="147"/>
      <c r="I214" s="141" t="s">
        <v>105</v>
      </c>
      <c r="J214" s="141" t="s">
        <v>65</v>
      </c>
      <c r="K214" s="3"/>
      <c r="L214" s="3"/>
      <c r="M214" s="3"/>
      <c r="N214" s="3"/>
      <c r="O214" s="2"/>
      <c r="Q214" s="148"/>
      <c r="R214" s="148"/>
      <c r="S214" s="137">
        <f>_xlfn.XLOOKUP(CONCATENATE(C_S_Digital[[#This Row],[Momento de ejecución]],C_S_Digital[[#This Row],[Forma de ejecución]]),C_Atributos,C_Peso,"",0)</f>
        <v>0.25</v>
      </c>
      <c r="T214" s="141" t="str">
        <f>IFERROR(_xlfn.XLOOKUP(C_S_Digital[[#This Row],[Momento de ejecución]],C_Momento,C_Efecto,,0),"")</f>
        <v>Impacto</v>
      </c>
      <c r="U214" s="143" t="str">
        <f>IFERROR(IF(C_S_Digital[[#This Row],[Código riesgo]]&lt;&gt;C213,_xlfn.XLOOKUP(C214,R_S_Digital[Código Riesgo],#REF!,,0)*IF(C_S_Digital[[#This Row],[Efecto]]="Probabilidad",1-C_S_Digital[[#This Row],[Peso]],1),IF(C_S_Digital[[#This Row],[Efecto]]="Probabilidad",U213*(1-C_S_Digital[[#This Row],[Peso]]),U213)),"")</f>
        <v/>
      </c>
      <c r="V214" s="144" t="str">
        <f>IFERROR(IF(C_S_Digital[[#This Row],[Código riesgo]]&lt;&gt;C213,_xlfn.XLOOKUP(C_S_Digital[[#This Row],[Código riesgo]],R_S_Digital[Código Riesgo],#REF!,,0)*IF(C_S_Digital[[#This Row],[Efecto]]="Impacto",1-C_S_Digital[[#This Row],[Peso]],1),IF(C_S_Digital[[#This Row],[Efecto]]="Impacto",V213*(1-C_S_Digital[[#This Row],[Peso]]),V213)),"")</f>
        <v/>
      </c>
    </row>
    <row r="215" spans="1:22" x14ac:dyDescent="0.25">
      <c r="A215" s="3">
        <v>210</v>
      </c>
      <c r="B215" s="85">
        <f>Mapa_RSD!B193</f>
        <v>0</v>
      </c>
      <c r="C215" s="136" t="e">
        <f>+R_S_Digital[[#This Row],[Código Riesgo]]</f>
        <v>#VALUE!</v>
      </c>
      <c r="D215" s="2"/>
      <c r="E215" s="141" t="str">
        <f>IF(C_S_Digital[[#This Row],[Responsable de ejecutar]]&lt;&gt;"",CONCATENATE(C_S_Digital[[#This Row],[Código riesgo]],"-",IF(C_S_Digital[[#This Row],[Código riesgo]]&lt;&gt;C214,1,RIGHT(E214,1)+1)),"")</f>
        <v/>
      </c>
      <c r="F215" s="147"/>
      <c r="G215" s="147"/>
      <c r="H215" s="147"/>
      <c r="I215" s="141" t="s">
        <v>105</v>
      </c>
      <c r="J215" s="141" t="s">
        <v>65</v>
      </c>
      <c r="K215" s="3"/>
      <c r="L215" s="3"/>
      <c r="M215" s="3"/>
      <c r="N215" s="3"/>
      <c r="O215" s="2"/>
      <c r="Q215" s="148"/>
      <c r="R215" s="148"/>
      <c r="S215" s="137">
        <f>_xlfn.XLOOKUP(CONCATENATE(C_S_Digital[[#This Row],[Momento de ejecución]],C_S_Digital[[#This Row],[Forma de ejecución]]),C_Atributos,C_Peso,"",0)</f>
        <v>0.25</v>
      </c>
      <c r="T215" s="141" t="str">
        <f>IFERROR(_xlfn.XLOOKUP(C_S_Digital[[#This Row],[Momento de ejecución]],C_Momento,C_Efecto,,0),"")</f>
        <v>Impacto</v>
      </c>
      <c r="U215" s="143" t="str">
        <f>IFERROR(IF(C_S_Digital[[#This Row],[Código riesgo]]&lt;&gt;C214,_xlfn.XLOOKUP(C215,R_S_Digital[Código Riesgo],#REF!,,0)*IF(C_S_Digital[[#This Row],[Efecto]]="Probabilidad",1-C_S_Digital[[#This Row],[Peso]],1),IF(C_S_Digital[[#This Row],[Efecto]]="Probabilidad",U214*(1-C_S_Digital[[#This Row],[Peso]]),U214)),"")</f>
        <v/>
      </c>
      <c r="V215" s="144" t="str">
        <f>IFERROR(IF(C_S_Digital[[#This Row],[Código riesgo]]&lt;&gt;C214,_xlfn.XLOOKUP(C_S_Digital[[#This Row],[Código riesgo]],R_S_Digital[Código Riesgo],#REF!,,0)*IF(C_S_Digital[[#This Row],[Efecto]]="Impacto",1-C_S_Digital[[#This Row],[Peso]],1),IF(C_S_Digital[[#This Row],[Efecto]]="Impacto",V214*(1-C_S_Digital[[#This Row],[Peso]]),V214)),"")</f>
        <v/>
      </c>
    </row>
    <row r="216" spans="1:22" x14ac:dyDescent="0.25">
      <c r="A216" s="3">
        <v>211</v>
      </c>
      <c r="B216" s="85">
        <f>Mapa_RSD!B194</f>
        <v>0</v>
      </c>
      <c r="C216" s="136" t="e">
        <f>+R_S_Digital[[#This Row],[Código Riesgo]]</f>
        <v>#VALUE!</v>
      </c>
      <c r="D216" s="2"/>
      <c r="E216" s="141" t="str">
        <f>IF(C_S_Digital[[#This Row],[Responsable de ejecutar]]&lt;&gt;"",CONCATENATE(C_S_Digital[[#This Row],[Código riesgo]],"-",IF(C_S_Digital[[#This Row],[Código riesgo]]&lt;&gt;C215,1,RIGHT(E215,1)+1)),"")</f>
        <v/>
      </c>
      <c r="F216" s="147"/>
      <c r="G216" s="147"/>
      <c r="H216" s="147"/>
      <c r="I216" s="141" t="s">
        <v>105</v>
      </c>
      <c r="J216" s="141" t="s">
        <v>65</v>
      </c>
      <c r="K216" s="3"/>
      <c r="L216" s="3"/>
      <c r="M216" s="3"/>
      <c r="N216" s="3"/>
      <c r="O216" s="2"/>
      <c r="Q216" s="148"/>
      <c r="R216" s="148"/>
      <c r="S216" s="137">
        <f>_xlfn.XLOOKUP(CONCATENATE(C_S_Digital[[#This Row],[Momento de ejecución]],C_S_Digital[[#This Row],[Forma de ejecución]]),C_Atributos,C_Peso,"",0)</f>
        <v>0.25</v>
      </c>
      <c r="T216" s="141" t="str">
        <f>IFERROR(_xlfn.XLOOKUP(C_S_Digital[[#This Row],[Momento de ejecución]],C_Momento,C_Efecto,,0),"")</f>
        <v>Impacto</v>
      </c>
      <c r="U216" s="143" t="str">
        <f>IFERROR(IF(C_S_Digital[[#This Row],[Código riesgo]]&lt;&gt;C215,_xlfn.XLOOKUP(C216,R_S_Digital[Código Riesgo],#REF!,,0)*IF(C_S_Digital[[#This Row],[Efecto]]="Probabilidad",1-C_S_Digital[[#This Row],[Peso]],1),IF(C_S_Digital[[#This Row],[Efecto]]="Probabilidad",U215*(1-C_S_Digital[[#This Row],[Peso]]),U215)),"")</f>
        <v/>
      </c>
      <c r="V216" s="144" t="str">
        <f>IFERROR(IF(C_S_Digital[[#This Row],[Código riesgo]]&lt;&gt;C215,_xlfn.XLOOKUP(C_S_Digital[[#This Row],[Código riesgo]],R_S_Digital[Código Riesgo],#REF!,,0)*IF(C_S_Digital[[#This Row],[Efecto]]="Impacto",1-C_S_Digital[[#This Row],[Peso]],1),IF(C_S_Digital[[#This Row],[Efecto]]="Impacto",V215*(1-C_S_Digital[[#This Row],[Peso]]),V215)),"")</f>
        <v/>
      </c>
    </row>
    <row r="217" spans="1:22" x14ac:dyDescent="0.25">
      <c r="A217" s="3">
        <v>212</v>
      </c>
      <c r="B217" s="85">
        <f>Mapa_RSD!B195</f>
        <v>0</v>
      </c>
      <c r="C217" s="136" t="e">
        <f>+R_S_Digital[[#This Row],[Código Riesgo]]</f>
        <v>#VALUE!</v>
      </c>
      <c r="D217" s="2"/>
      <c r="E217" s="141" t="str">
        <f>IF(C_S_Digital[[#This Row],[Responsable de ejecutar]]&lt;&gt;"",CONCATENATE(C_S_Digital[[#This Row],[Código riesgo]],"-",IF(C_S_Digital[[#This Row],[Código riesgo]]&lt;&gt;C216,1,RIGHT(E216,1)+1)),"")</f>
        <v/>
      </c>
      <c r="F217" s="147"/>
      <c r="G217" s="147"/>
      <c r="H217" s="147"/>
      <c r="I217" s="141" t="s">
        <v>105</v>
      </c>
      <c r="J217" s="141" t="s">
        <v>65</v>
      </c>
      <c r="K217" s="3"/>
      <c r="L217" s="3"/>
      <c r="M217" s="3"/>
      <c r="N217" s="3"/>
      <c r="O217" s="2"/>
      <c r="Q217" s="148"/>
      <c r="R217" s="148"/>
      <c r="S217" s="137">
        <f>_xlfn.XLOOKUP(CONCATENATE(C_S_Digital[[#This Row],[Momento de ejecución]],C_S_Digital[[#This Row],[Forma de ejecución]]),C_Atributos,C_Peso,"",0)</f>
        <v>0.25</v>
      </c>
      <c r="T217" s="141" t="str">
        <f>IFERROR(_xlfn.XLOOKUP(C_S_Digital[[#This Row],[Momento de ejecución]],C_Momento,C_Efecto,,0),"")</f>
        <v>Impacto</v>
      </c>
      <c r="U217" s="143" t="str">
        <f>IFERROR(IF(C_S_Digital[[#This Row],[Código riesgo]]&lt;&gt;C216,_xlfn.XLOOKUP(C217,R_S_Digital[Código Riesgo],#REF!,,0)*IF(C_S_Digital[[#This Row],[Efecto]]="Probabilidad",1-C_S_Digital[[#This Row],[Peso]],1),IF(C_S_Digital[[#This Row],[Efecto]]="Probabilidad",U216*(1-C_S_Digital[[#This Row],[Peso]]),U216)),"")</f>
        <v/>
      </c>
      <c r="V217" s="144" t="str">
        <f>IFERROR(IF(C_S_Digital[[#This Row],[Código riesgo]]&lt;&gt;C216,_xlfn.XLOOKUP(C_S_Digital[[#This Row],[Código riesgo]],R_S_Digital[Código Riesgo],#REF!,,0)*IF(C_S_Digital[[#This Row],[Efecto]]="Impacto",1-C_S_Digital[[#This Row],[Peso]],1),IF(C_S_Digital[[#This Row],[Efecto]]="Impacto",V216*(1-C_S_Digital[[#This Row],[Peso]]),V216)),"")</f>
        <v/>
      </c>
    </row>
    <row r="218" spans="1:22" x14ac:dyDescent="0.25">
      <c r="A218" s="3">
        <v>213</v>
      </c>
      <c r="B218" s="85">
        <f>Mapa_RSD!B196</f>
        <v>0</v>
      </c>
      <c r="C218" s="136" t="e">
        <f>+R_S_Digital[[#This Row],[Código Riesgo]]</f>
        <v>#VALUE!</v>
      </c>
      <c r="D218" s="2"/>
      <c r="E218" s="141" t="str">
        <f>IF(C_S_Digital[[#This Row],[Responsable de ejecutar]]&lt;&gt;"",CONCATENATE(C_S_Digital[[#This Row],[Código riesgo]],"-",IF(C_S_Digital[[#This Row],[Código riesgo]]&lt;&gt;C217,1,RIGHT(E217,1)+1)),"")</f>
        <v/>
      </c>
      <c r="F218" s="147"/>
      <c r="G218" s="147"/>
      <c r="H218" s="147"/>
      <c r="I218" s="141" t="s">
        <v>105</v>
      </c>
      <c r="J218" s="141" t="s">
        <v>65</v>
      </c>
      <c r="K218" s="3"/>
      <c r="L218" s="3"/>
      <c r="M218" s="3"/>
      <c r="N218" s="3"/>
      <c r="O218" s="2"/>
      <c r="Q218" s="148"/>
      <c r="R218" s="148"/>
      <c r="S218" s="137">
        <f>_xlfn.XLOOKUP(CONCATENATE(C_S_Digital[[#This Row],[Momento de ejecución]],C_S_Digital[[#This Row],[Forma de ejecución]]),C_Atributos,C_Peso,"",0)</f>
        <v>0.25</v>
      </c>
      <c r="T218" s="141" t="str">
        <f>IFERROR(_xlfn.XLOOKUP(C_S_Digital[[#This Row],[Momento de ejecución]],C_Momento,C_Efecto,,0),"")</f>
        <v>Impacto</v>
      </c>
      <c r="U218" s="143" t="str">
        <f>IFERROR(IF(C_S_Digital[[#This Row],[Código riesgo]]&lt;&gt;C217,_xlfn.XLOOKUP(C218,R_S_Digital[Código Riesgo],#REF!,,0)*IF(C_S_Digital[[#This Row],[Efecto]]="Probabilidad",1-C_S_Digital[[#This Row],[Peso]],1),IF(C_S_Digital[[#This Row],[Efecto]]="Probabilidad",U217*(1-C_S_Digital[[#This Row],[Peso]]),U217)),"")</f>
        <v/>
      </c>
      <c r="V218" s="144" t="str">
        <f>IFERROR(IF(C_S_Digital[[#This Row],[Código riesgo]]&lt;&gt;C217,_xlfn.XLOOKUP(C_S_Digital[[#This Row],[Código riesgo]],R_S_Digital[Código Riesgo],#REF!,,0)*IF(C_S_Digital[[#This Row],[Efecto]]="Impacto",1-C_S_Digital[[#This Row],[Peso]],1),IF(C_S_Digital[[#This Row],[Efecto]]="Impacto",V217*(1-C_S_Digital[[#This Row],[Peso]]),V217)),"")</f>
        <v/>
      </c>
    </row>
    <row r="219" spans="1:22" x14ac:dyDescent="0.25">
      <c r="A219" s="3">
        <v>214</v>
      </c>
      <c r="B219" s="85">
        <f>Mapa_RSD!B197</f>
        <v>0</v>
      </c>
      <c r="C219" s="136" t="e">
        <f>+R_S_Digital[[#This Row],[Código Riesgo]]</f>
        <v>#VALUE!</v>
      </c>
      <c r="D219" s="2"/>
      <c r="E219" s="141" t="str">
        <f>IF(C_S_Digital[[#This Row],[Responsable de ejecutar]]&lt;&gt;"",CONCATENATE(C_S_Digital[[#This Row],[Código riesgo]],"-",IF(C_S_Digital[[#This Row],[Código riesgo]]&lt;&gt;C218,1,RIGHT(E218,1)+1)),"")</f>
        <v/>
      </c>
      <c r="F219" s="147"/>
      <c r="G219" s="147"/>
      <c r="H219" s="147"/>
      <c r="I219" s="141" t="s">
        <v>105</v>
      </c>
      <c r="J219" s="141" t="s">
        <v>65</v>
      </c>
      <c r="K219" s="3"/>
      <c r="L219" s="3"/>
      <c r="M219" s="3"/>
      <c r="N219" s="3"/>
      <c r="O219" s="2"/>
      <c r="Q219" s="148"/>
      <c r="R219" s="148"/>
      <c r="S219" s="137">
        <f>_xlfn.XLOOKUP(CONCATENATE(C_S_Digital[[#This Row],[Momento de ejecución]],C_S_Digital[[#This Row],[Forma de ejecución]]),C_Atributos,C_Peso,"",0)</f>
        <v>0.25</v>
      </c>
      <c r="T219" s="141" t="str">
        <f>IFERROR(_xlfn.XLOOKUP(C_S_Digital[[#This Row],[Momento de ejecución]],C_Momento,C_Efecto,,0),"")</f>
        <v>Impacto</v>
      </c>
      <c r="U219" s="143" t="str">
        <f>IFERROR(IF(C_S_Digital[[#This Row],[Código riesgo]]&lt;&gt;C218,_xlfn.XLOOKUP(C219,R_S_Digital[Código Riesgo],#REF!,,0)*IF(C_S_Digital[[#This Row],[Efecto]]="Probabilidad",1-C_S_Digital[[#This Row],[Peso]],1),IF(C_S_Digital[[#This Row],[Efecto]]="Probabilidad",U218*(1-C_S_Digital[[#This Row],[Peso]]),U218)),"")</f>
        <v/>
      </c>
      <c r="V219" s="144" t="str">
        <f>IFERROR(IF(C_S_Digital[[#This Row],[Código riesgo]]&lt;&gt;C218,_xlfn.XLOOKUP(C_S_Digital[[#This Row],[Código riesgo]],R_S_Digital[Código Riesgo],#REF!,,0)*IF(C_S_Digital[[#This Row],[Efecto]]="Impacto",1-C_S_Digital[[#This Row],[Peso]],1),IF(C_S_Digital[[#This Row],[Efecto]]="Impacto",V218*(1-C_S_Digital[[#This Row],[Peso]]),V218)),"")</f>
        <v/>
      </c>
    </row>
    <row r="220" spans="1:22" x14ac:dyDescent="0.25">
      <c r="A220" s="3">
        <v>215</v>
      </c>
      <c r="B220" s="85">
        <f>Mapa_RSD!B198</f>
        <v>0</v>
      </c>
      <c r="C220" s="136" t="e">
        <f>+R_S_Digital[[#This Row],[Código Riesgo]]</f>
        <v>#VALUE!</v>
      </c>
      <c r="D220" s="2"/>
      <c r="E220" s="141" t="str">
        <f>IF(C_S_Digital[[#This Row],[Responsable de ejecutar]]&lt;&gt;"",CONCATENATE(C_S_Digital[[#This Row],[Código riesgo]],"-",IF(C_S_Digital[[#This Row],[Código riesgo]]&lt;&gt;C219,1,RIGHT(E219,1)+1)),"")</f>
        <v/>
      </c>
      <c r="F220" s="147"/>
      <c r="G220" s="147"/>
      <c r="H220" s="147"/>
      <c r="I220" s="141" t="s">
        <v>105</v>
      </c>
      <c r="J220" s="141" t="s">
        <v>65</v>
      </c>
      <c r="K220" s="3"/>
      <c r="L220" s="3"/>
      <c r="M220" s="3"/>
      <c r="N220" s="3"/>
      <c r="O220" s="2"/>
      <c r="Q220" s="148"/>
      <c r="R220" s="148"/>
      <c r="S220" s="137">
        <f>_xlfn.XLOOKUP(CONCATENATE(C_S_Digital[[#This Row],[Momento de ejecución]],C_S_Digital[[#This Row],[Forma de ejecución]]),C_Atributos,C_Peso,"",0)</f>
        <v>0.25</v>
      </c>
      <c r="T220" s="141" t="str">
        <f>IFERROR(_xlfn.XLOOKUP(C_S_Digital[[#This Row],[Momento de ejecución]],C_Momento,C_Efecto,,0),"")</f>
        <v>Impacto</v>
      </c>
      <c r="U220" s="143" t="str">
        <f>IFERROR(IF(C_S_Digital[[#This Row],[Código riesgo]]&lt;&gt;C219,_xlfn.XLOOKUP(C220,R_S_Digital[Código Riesgo],#REF!,,0)*IF(C_S_Digital[[#This Row],[Efecto]]="Probabilidad",1-C_S_Digital[[#This Row],[Peso]],1),IF(C_S_Digital[[#This Row],[Efecto]]="Probabilidad",U219*(1-C_S_Digital[[#This Row],[Peso]]),U219)),"")</f>
        <v/>
      </c>
      <c r="V220" s="144" t="str">
        <f>IFERROR(IF(C_S_Digital[[#This Row],[Código riesgo]]&lt;&gt;C219,_xlfn.XLOOKUP(C_S_Digital[[#This Row],[Código riesgo]],R_S_Digital[Código Riesgo],#REF!,,0)*IF(C_S_Digital[[#This Row],[Efecto]]="Impacto",1-C_S_Digital[[#This Row],[Peso]],1),IF(C_S_Digital[[#This Row],[Efecto]]="Impacto",V219*(1-C_S_Digital[[#This Row],[Peso]]),V219)),"")</f>
        <v/>
      </c>
    </row>
    <row r="221" spans="1:22" x14ac:dyDescent="0.25">
      <c r="A221" s="3">
        <v>216</v>
      </c>
      <c r="B221" s="85">
        <f>Mapa_RSD!B199</f>
        <v>0</v>
      </c>
      <c r="C221" s="136" t="e">
        <f>+R_S_Digital[[#This Row],[Código Riesgo]]</f>
        <v>#VALUE!</v>
      </c>
      <c r="D221" s="2"/>
      <c r="E221" s="141" t="str">
        <f>IF(C_S_Digital[[#This Row],[Responsable de ejecutar]]&lt;&gt;"",CONCATENATE(C_S_Digital[[#This Row],[Código riesgo]],"-",IF(C_S_Digital[[#This Row],[Código riesgo]]&lt;&gt;C220,1,RIGHT(E220,1)+1)),"")</f>
        <v/>
      </c>
      <c r="F221" s="147"/>
      <c r="G221" s="147"/>
      <c r="H221" s="147"/>
      <c r="I221" s="141" t="s">
        <v>105</v>
      </c>
      <c r="J221" s="141" t="s">
        <v>65</v>
      </c>
      <c r="K221" s="3"/>
      <c r="L221" s="3"/>
      <c r="M221" s="3"/>
      <c r="N221" s="3"/>
      <c r="O221" s="2"/>
      <c r="Q221" s="148"/>
      <c r="R221" s="148"/>
      <c r="S221" s="137">
        <f>_xlfn.XLOOKUP(CONCATENATE(C_S_Digital[[#This Row],[Momento de ejecución]],C_S_Digital[[#This Row],[Forma de ejecución]]),C_Atributos,C_Peso,"",0)</f>
        <v>0.25</v>
      </c>
      <c r="T221" s="141" t="str">
        <f>IFERROR(_xlfn.XLOOKUP(C_S_Digital[[#This Row],[Momento de ejecución]],C_Momento,C_Efecto,,0),"")</f>
        <v>Impacto</v>
      </c>
      <c r="U221" s="143" t="str">
        <f>IFERROR(IF(C_S_Digital[[#This Row],[Código riesgo]]&lt;&gt;C220,_xlfn.XLOOKUP(C221,R_S_Digital[Código Riesgo],#REF!,,0)*IF(C_S_Digital[[#This Row],[Efecto]]="Probabilidad",1-C_S_Digital[[#This Row],[Peso]],1),IF(C_S_Digital[[#This Row],[Efecto]]="Probabilidad",U220*(1-C_S_Digital[[#This Row],[Peso]]),U220)),"")</f>
        <v/>
      </c>
      <c r="V221" s="144" t="str">
        <f>IFERROR(IF(C_S_Digital[[#This Row],[Código riesgo]]&lt;&gt;C220,_xlfn.XLOOKUP(C_S_Digital[[#This Row],[Código riesgo]],R_S_Digital[Código Riesgo],#REF!,,0)*IF(C_S_Digital[[#This Row],[Efecto]]="Impacto",1-C_S_Digital[[#This Row],[Peso]],1),IF(C_S_Digital[[#This Row],[Efecto]]="Impacto",V220*(1-C_S_Digital[[#This Row],[Peso]]),V220)),"")</f>
        <v/>
      </c>
    </row>
    <row r="222" spans="1:22" x14ac:dyDescent="0.25">
      <c r="A222" s="3">
        <v>217</v>
      </c>
      <c r="B222" s="85">
        <f>Mapa_RSD!B200</f>
        <v>0</v>
      </c>
      <c r="C222" s="136" t="e">
        <f>+R_S_Digital[[#This Row],[Código Riesgo]]</f>
        <v>#VALUE!</v>
      </c>
      <c r="D222" s="2"/>
      <c r="E222" s="141" t="str">
        <f>IF(C_S_Digital[[#This Row],[Responsable de ejecutar]]&lt;&gt;"",CONCATENATE(C_S_Digital[[#This Row],[Código riesgo]],"-",IF(C_S_Digital[[#This Row],[Código riesgo]]&lt;&gt;C221,1,RIGHT(E221,1)+1)),"")</f>
        <v/>
      </c>
      <c r="F222" s="147"/>
      <c r="G222" s="147"/>
      <c r="H222" s="147"/>
      <c r="I222" s="141" t="s">
        <v>105</v>
      </c>
      <c r="J222" s="141" t="s">
        <v>65</v>
      </c>
      <c r="K222" s="3"/>
      <c r="L222" s="3"/>
      <c r="M222" s="3"/>
      <c r="N222" s="3"/>
      <c r="O222" s="2"/>
      <c r="Q222" s="148"/>
      <c r="R222" s="148"/>
      <c r="S222" s="137">
        <f>_xlfn.XLOOKUP(CONCATENATE(C_S_Digital[[#This Row],[Momento de ejecución]],C_S_Digital[[#This Row],[Forma de ejecución]]),C_Atributos,C_Peso,"",0)</f>
        <v>0.25</v>
      </c>
      <c r="T222" s="141" t="str">
        <f>IFERROR(_xlfn.XLOOKUP(C_S_Digital[[#This Row],[Momento de ejecución]],C_Momento,C_Efecto,,0),"")</f>
        <v>Impacto</v>
      </c>
      <c r="U222" s="143" t="str">
        <f>IFERROR(IF(C_S_Digital[[#This Row],[Código riesgo]]&lt;&gt;C221,_xlfn.XLOOKUP(C222,R_S_Digital[Código Riesgo],#REF!,,0)*IF(C_S_Digital[[#This Row],[Efecto]]="Probabilidad",1-C_S_Digital[[#This Row],[Peso]],1),IF(C_S_Digital[[#This Row],[Efecto]]="Probabilidad",U221*(1-C_S_Digital[[#This Row],[Peso]]),U221)),"")</f>
        <v/>
      </c>
      <c r="V222" s="144" t="str">
        <f>IFERROR(IF(C_S_Digital[[#This Row],[Código riesgo]]&lt;&gt;C221,_xlfn.XLOOKUP(C_S_Digital[[#This Row],[Código riesgo]],R_S_Digital[Código Riesgo],#REF!,,0)*IF(C_S_Digital[[#This Row],[Efecto]]="Impacto",1-C_S_Digital[[#This Row],[Peso]],1),IF(C_S_Digital[[#This Row],[Efecto]]="Impacto",V221*(1-C_S_Digital[[#This Row],[Peso]]),V221)),"")</f>
        <v/>
      </c>
    </row>
    <row r="223" spans="1:22" x14ac:dyDescent="0.25">
      <c r="A223" s="3">
        <v>218</v>
      </c>
      <c r="B223" s="85">
        <f>Mapa_RSD!B201</f>
        <v>0</v>
      </c>
      <c r="C223" s="136" t="e">
        <f>+R_S_Digital[[#This Row],[Código Riesgo]]</f>
        <v>#VALUE!</v>
      </c>
      <c r="D223" s="2"/>
      <c r="E223" s="141" t="str">
        <f>IF(C_S_Digital[[#This Row],[Responsable de ejecutar]]&lt;&gt;"",CONCATENATE(C_S_Digital[[#This Row],[Código riesgo]],"-",IF(C_S_Digital[[#This Row],[Código riesgo]]&lt;&gt;C222,1,RIGHT(E222,1)+1)),"")</f>
        <v/>
      </c>
      <c r="F223" s="147"/>
      <c r="G223" s="147"/>
      <c r="H223" s="147"/>
      <c r="I223" s="141" t="s">
        <v>105</v>
      </c>
      <c r="J223" s="141" t="s">
        <v>65</v>
      </c>
      <c r="K223" s="3"/>
      <c r="L223" s="3"/>
      <c r="M223" s="3"/>
      <c r="N223" s="3"/>
      <c r="O223" s="2"/>
      <c r="Q223" s="148"/>
      <c r="R223" s="148"/>
      <c r="S223" s="137">
        <f>_xlfn.XLOOKUP(CONCATENATE(C_S_Digital[[#This Row],[Momento de ejecución]],C_S_Digital[[#This Row],[Forma de ejecución]]),C_Atributos,C_Peso,"",0)</f>
        <v>0.25</v>
      </c>
      <c r="T223" s="141" t="str">
        <f>IFERROR(_xlfn.XLOOKUP(C_S_Digital[[#This Row],[Momento de ejecución]],C_Momento,C_Efecto,,0),"")</f>
        <v>Impacto</v>
      </c>
      <c r="U223" s="143" t="str">
        <f>IFERROR(IF(C_S_Digital[[#This Row],[Código riesgo]]&lt;&gt;C222,_xlfn.XLOOKUP(C223,R_S_Digital[Código Riesgo],#REF!,,0)*IF(C_S_Digital[[#This Row],[Efecto]]="Probabilidad",1-C_S_Digital[[#This Row],[Peso]],1),IF(C_S_Digital[[#This Row],[Efecto]]="Probabilidad",U222*(1-C_S_Digital[[#This Row],[Peso]]),U222)),"")</f>
        <v/>
      </c>
      <c r="V223" s="144" t="str">
        <f>IFERROR(IF(C_S_Digital[[#This Row],[Código riesgo]]&lt;&gt;C222,_xlfn.XLOOKUP(C_S_Digital[[#This Row],[Código riesgo]],R_S_Digital[Código Riesgo],#REF!,,0)*IF(C_S_Digital[[#This Row],[Efecto]]="Impacto",1-C_S_Digital[[#This Row],[Peso]],1),IF(C_S_Digital[[#This Row],[Efecto]]="Impacto",V222*(1-C_S_Digital[[#This Row],[Peso]]),V222)),"")</f>
        <v/>
      </c>
    </row>
    <row r="224" spans="1:22" x14ac:dyDescent="0.25">
      <c r="A224" s="3">
        <v>219</v>
      </c>
      <c r="B224" s="85">
        <f>Mapa_RSD!B202</f>
        <v>0</v>
      </c>
      <c r="C224" s="136" t="e">
        <f>+R_S_Digital[[#This Row],[Código Riesgo]]</f>
        <v>#VALUE!</v>
      </c>
      <c r="D224" s="2"/>
      <c r="E224" s="141" t="str">
        <f>IF(C_S_Digital[[#This Row],[Responsable de ejecutar]]&lt;&gt;"",CONCATENATE(C_S_Digital[[#This Row],[Código riesgo]],"-",IF(C_S_Digital[[#This Row],[Código riesgo]]&lt;&gt;C223,1,RIGHT(E223,1)+1)),"")</f>
        <v/>
      </c>
      <c r="F224" s="147"/>
      <c r="G224" s="147"/>
      <c r="H224" s="147"/>
      <c r="I224" s="141" t="s">
        <v>105</v>
      </c>
      <c r="J224" s="141" t="s">
        <v>65</v>
      </c>
      <c r="K224" s="3"/>
      <c r="L224" s="3"/>
      <c r="M224" s="3"/>
      <c r="N224" s="3"/>
      <c r="O224" s="2"/>
      <c r="Q224" s="148"/>
      <c r="R224" s="148"/>
      <c r="S224" s="137">
        <f>_xlfn.XLOOKUP(CONCATENATE(C_S_Digital[[#This Row],[Momento de ejecución]],C_S_Digital[[#This Row],[Forma de ejecución]]),C_Atributos,C_Peso,"",0)</f>
        <v>0.25</v>
      </c>
      <c r="T224" s="141" t="str">
        <f>IFERROR(_xlfn.XLOOKUP(C_S_Digital[[#This Row],[Momento de ejecución]],C_Momento,C_Efecto,,0),"")</f>
        <v>Impacto</v>
      </c>
      <c r="U224" s="143" t="str">
        <f>IFERROR(IF(C_S_Digital[[#This Row],[Código riesgo]]&lt;&gt;C223,_xlfn.XLOOKUP(C224,R_S_Digital[Código Riesgo],#REF!,,0)*IF(C_S_Digital[[#This Row],[Efecto]]="Probabilidad",1-C_S_Digital[[#This Row],[Peso]],1),IF(C_S_Digital[[#This Row],[Efecto]]="Probabilidad",U223*(1-C_S_Digital[[#This Row],[Peso]]),U223)),"")</f>
        <v/>
      </c>
      <c r="V224" s="144" t="str">
        <f>IFERROR(IF(C_S_Digital[[#This Row],[Código riesgo]]&lt;&gt;C223,_xlfn.XLOOKUP(C_S_Digital[[#This Row],[Código riesgo]],R_S_Digital[Código Riesgo],#REF!,,0)*IF(C_S_Digital[[#This Row],[Efecto]]="Impacto",1-C_S_Digital[[#This Row],[Peso]],1),IF(C_S_Digital[[#This Row],[Efecto]]="Impacto",V223*(1-C_S_Digital[[#This Row],[Peso]]),V223)),"")</f>
        <v/>
      </c>
    </row>
    <row r="225" spans="1:22" x14ac:dyDescent="0.25">
      <c r="A225" s="3">
        <v>220</v>
      </c>
      <c r="B225" s="85">
        <f>Mapa_RSD!B203</f>
        <v>0</v>
      </c>
      <c r="C225" s="136" t="e">
        <f>+R_S_Digital[[#This Row],[Código Riesgo]]</f>
        <v>#VALUE!</v>
      </c>
      <c r="D225" s="2"/>
      <c r="E225" s="141" t="str">
        <f>IF(C_S_Digital[[#This Row],[Responsable de ejecutar]]&lt;&gt;"",CONCATENATE(C_S_Digital[[#This Row],[Código riesgo]],"-",IF(C_S_Digital[[#This Row],[Código riesgo]]&lt;&gt;C224,1,RIGHT(E224,1)+1)),"")</f>
        <v/>
      </c>
      <c r="F225" s="147"/>
      <c r="G225" s="147"/>
      <c r="H225" s="147"/>
      <c r="I225" s="141" t="s">
        <v>105</v>
      </c>
      <c r="J225" s="141" t="s">
        <v>65</v>
      </c>
      <c r="K225" s="3"/>
      <c r="L225" s="3"/>
      <c r="M225" s="3"/>
      <c r="N225" s="3"/>
      <c r="O225" s="2"/>
      <c r="Q225" s="148"/>
      <c r="R225" s="148"/>
      <c r="S225" s="137">
        <f>_xlfn.XLOOKUP(CONCATENATE(C_S_Digital[[#This Row],[Momento de ejecución]],C_S_Digital[[#This Row],[Forma de ejecución]]),C_Atributos,C_Peso,"",0)</f>
        <v>0.25</v>
      </c>
      <c r="T225" s="141" t="str">
        <f>IFERROR(_xlfn.XLOOKUP(C_S_Digital[[#This Row],[Momento de ejecución]],C_Momento,C_Efecto,,0),"")</f>
        <v>Impacto</v>
      </c>
      <c r="U225" s="143" t="str">
        <f>IFERROR(IF(C_S_Digital[[#This Row],[Código riesgo]]&lt;&gt;C224,_xlfn.XLOOKUP(C225,R_S_Digital[Código Riesgo],#REF!,,0)*IF(C_S_Digital[[#This Row],[Efecto]]="Probabilidad",1-C_S_Digital[[#This Row],[Peso]],1),IF(C_S_Digital[[#This Row],[Efecto]]="Probabilidad",U224*(1-C_S_Digital[[#This Row],[Peso]]),U224)),"")</f>
        <v/>
      </c>
      <c r="V225" s="144" t="str">
        <f>IFERROR(IF(C_S_Digital[[#This Row],[Código riesgo]]&lt;&gt;C224,_xlfn.XLOOKUP(C_S_Digital[[#This Row],[Código riesgo]],R_S_Digital[Código Riesgo],#REF!,,0)*IF(C_S_Digital[[#This Row],[Efecto]]="Impacto",1-C_S_Digital[[#This Row],[Peso]],1),IF(C_S_Digital[[#This Row],[Efecto]]="Impacto",V224*(1-C_S_Digital[[#This Row],[Peso]]),V224)),"")</f>
        <v/>
      </c>
    </row>
    <row r="226" spans="1:22" x14ac:dyDescent="0.25">
      <c r="A226" s="3">
        <v>221</v>
      </c>
      <c r="B226" s="85">
        <f>Mapa_RSD!B204</f>
        <v>0</v>
      </c>
      <c r="C226" s="136" t="e">
        <f>+R_S_Digital[[#This Row],[Código Riesgo]]</f>
        <v>#VALUE!</v>
      </c>
      <c r="D226" s="2"/>
      <c r="E226" s="141" t="str">
        <f>IF(C_S_Digital[[#This Row],[Responsable de ejecutar]]&lt;&gt;"",CONCATENATE(C_S_Digital[[#This Row],[Código riesgo]],"-",IF(C_S_Digital[[#This Row],[Código riesgo]]&lt;&gt;C225,1,RIGHT(E225,1)+1)),"")</f>
        <v/>
      </c>
      <c r="F226" s="147"/>
      <c r="G226" s="147"/>
      <c r="H226" s="147"/>
      <c r="I226" s="141" t="s">
        <v>105</v>
      </c>
      <c r="J226" s="141" t="s">
        <v>65</v>
      </c>
      <c r="K226" s="3"/>
      <c r="L226" s="3"/>
      <c r="M226" s="3"/>
      <c r="N226" s="3"/>
      <c r="O226" s="2"/>
      <c r="Q226" s="148"/>
      <c r="R226" s="148"/>
      <c r="S226" s="137">
        <f>_xlfn.XLOOKUP(CONCATENATE(C_S_Digital[[#This Row],[Momento de ejecución]],C_S_Digital[[#This Row],[Forma de ejecución]]),C_Atributos,C_Peso,"",0)</f>
        <v>0.25</v>
      </c>
      <c r="T226" s="141" t="str">
        <f>IFERROR(_xlfn.XLOOKUP(C_S_Digital[[#This Row],[Momento de ejecución]],C_Momento,C_Efecto,,0),"")</f>
        <v>Impacto</v>
      </c>
      <c r="U226" s="143" t="str">
        <f>IFERROR(IF(C_S_Digital[[#This Row],[Código riesgo]]&lt;&gt;C225,_xlfn.XLOOKUP(C226,R_S_Digital[Código Riesgo],#REF!,,0)*IF(C_S_Digital[[#This Row],[Efecto]]="Probabilidad",1-C_S_Digital[[#This Row],[Peso]],1),IF(C_S_Digital[[#This Row],[Efecto]]="Probabilidad",U225*(1-C_S_Digital[[#This Row],[Peso]]),U225)),"")</f>
        <v/>
      </c>
      <c r="V226" s="144" t="str">
        <f>IFERROR(IF(C_S_Digital[[#This Row],[Código riesgo]]&lt;&gt;C225,_xlfn.XLOOKUP(C_S_Digital[[#This Row],[Código riesgo]],R_S_Digital[Código Riesgo],#REF!,,0)*IF(C_S_Digital[[#This Row],[Efecto]]="Impacto",1-C_S_Digital[[#This Row],[Peso]],1),IF(C_S_Digital[[#This Row],[Efecto]]="Impacto",V225*(1-C_S_Digital[[#This Row],[Peso]]),V225)),"")</f>
        <v/>
      </c>
    </row>
    <row r="227" spans="1:22" x14ac:dyDescent="0.25">
      <c r="A227" s="3">
        <v>222</v>
      </c>
      <c r="B227" s="85">
        <f>Mapa_RSD!B205</f>
        <v>0</v>
      </c>
      <c r="C227" s="136" t="e">
        <f>+R_S_Digital[[#This Row],[Código Riesgo]]</f>
        <v>#VALUE!</v>
      </c>
      <c r="D227" s="2"/>
      <c r="E227" s="141" t="str">
        <f>IF(C_S_Digital[[#This Row],[Responsable de ejecutar]]&lt;&gt;"",CONCATENATE(C_S_Digital[[#This Row],[Código riesgo]],"-",IF(C_S_Digital[[#This Row],[Código riesgo]]&lt;&gt;C226,1,RIGHT(E226,1)+1)),"")</f>
        <v/>
      </c>
      <c r="F227" s="147"/>
      <c r="G227" s="147"/>
      <c r="H227" s="147"/>
      <c r="I227" s="141" t="s">
        <v>105</v>
      </c>
      <c r="J227" s="141" t="s">
        <v>65</v>
      </c>
      <c r="K227" s="3"/>
      <c r="L227" s="3"/>
      <c r="M227" s="3"/>
      <c r="N227" s="3"/>
      <c r="O227" s="2"/>
      <c r="Q227" s="148"/>
      <c r="R227" s="148"/>
      <c r="S227" s="137">
        <f>_xlfn.XLOOKUP(CONCATENATE(C_S_Digital[[#This Row],[Momento de ejecución]],C_S_Digital[[#This Row],[Forma de ejecución]]),C_Atributos,C_Peso,"",0)</f>
        <v>0.25</v>
      </c>
      <c r="T227" s="141" t="str">
        <f>IFERROR(_xlfn.XLOOKUP(C_S_Digital[[#This Row],[Momento de ejecución]],C_Momento,C_Efecto,,0),"")</f>
        <v>Impacto</v>
      </c>
      <c r="U227" s="143" t="str">
        <f>IFERROR(IF(C_S_Digital[[#This Row],[Código riesgo]]&lt;&gt;C226,_xlfn.XLOOKUP(C227,R_S_Digital[Código Riesgo],#REF!,,0)*IF(C_S_Digital[[#This Row],[Efecto]]="Probabilidad",1-C_S_Digital[[#This Row],[Peso]],1),IF(C_S_Digital[[#This Row],[Efecto]]="Probabilidad",U226*(1-C_S_Digital[[#This Row],[Peso]]),U226)),"")</f>
        <v/>
      </c>
      <c r="V227" s="144" t="str">
        <f>IFERROR(IF(C_S_Digital[[#This Row],[Código riesgo]]&lt;&gt;C226,_xlfn.XLOOKUP(C_S_Digital[[#This Row],[Código riesgo]],R_S_Digital[Código Riesgo],#REF!,,0)*IF(C_S_Digital[[#This Row],[Efecto]]="Impacto",1-C_S_Digital[[#This Row],[Peso]],1),IF(C_S_Digital[[#This Row],[Efecto]]="Impacto",V226*(1-C_S_Digital[[#This Row],[Peso]]),V226)),"")</f>
        <v/>
      </c>
    </row>
    <row r="228" spans="1:22" x14ac:dyDescent="0.25">
      <c r="A228" s="3">
        <v>223</v>
      </c>
      <c r="B228" s="85">
        <f>Mapa_RSD!B206</f>
        <v>0</v>
      </c>
      <c r="C228" s="136" t="e">
        <f>+R_S_Digital[[#This Row],[Código Riesgo]]</f>
        <v>#VALUE!</v>
      </c>
      <c r="D228" s="2"/>
      <c r="E228" s="141" t="str">
        <f>IF(C_S_Digital[[#This Row],[Responsable de ejecutar]]&lt;&gt;"",CONCATENATE(C_S_Digital[[#This Row],[Código riesgo]],"-",IF(C_S_Digital[[#This Row],[Código riesgo]]&lt;&gt;C227,1,RIGHT(E227,1)+1)),"")</f>
        <v/>
      </c>
      <c r="F228" s="147"/>
      <c r="G228" s="147"/>
      <c r="H228" s="147"/>
      <c r="I228" s="141" t="s">
        <v>105</v>
      </c>
      <c r="J228" s="141" t="s">
        <v>65</v>
      </c>
      <c r="K228" s="3"/>
      <c r="L228" s="3"/>
      <c r="M228" s="3"/>
      <c r="N228" s="3"/>
      <c r="O228" s="2"/>
      <c r="Q228" s="148"/>
      <c r="R228" s="148"/>
      <c r="S228" s="137">
        <f>_xlfn.XLOOKUP(CONCATENATE(C_S_Digital[[#This Row],[Momento de ejecución]],C_S_Digital[[#This Row],[Forma de ejecución]]),C_Atributos,C_Peso,"",0)</f>
        <v>0.25</v>
      </c>
      <c r="T228" s="141" t="str">
        <f>IFERROR(_xlfn.XLOOKUP(C_S_Digital[[#This Row],[Momento de ejecución]],C_Momento,C_Efecto,,0),"")</f>
        <v>Impacto</v>
      </c>
      <c r="U228" s="143" t="str">
        <f>IFERROR(IF(C_S_Digital[[#This Row],[Código riesgo]]&lt;&gt;C227,_xlfn.XLOOKUP(C228,R_S_Digital[Código Riesgo],#REF!,,0)*IF(C_S_Digital[[#This Row],[Efecto]]="Probabilidad",1-C_S_Digital[[#This Row],[Peso]],1),IF(C_S_Digital[[#This Row],[Efecto]]="Probabilidad",U227*(1-C_S_Digital[[#This Row],[Peso]]),U227)),"")</f>
        <v/>
      </c>
      <c r="V228" s="144" t="str">
        <f>IFERROR(IF(C_S_Digital[[#This Row],[Código riesgo]]&lt;&gt;C227,_xlfn.XLOOKUP(C_S_Digital[[#This Row],[Código riesgo]],R_S_Digital[Código Riesgo],#REF!,,0)*IF(C_S_Digital[[#This Row],[Efecto]]="Impacto",1-C_S_Digital[[#This Row],[Peso]],1),IF(C_S_Digital[[#This Row],[Efecto]]="Impacto",V227*(1-C_S_Digital[[#This Row],[Peso]]),V227)),"")</f>
        <v/>
      </c>
    </row>
    <row r="229" spans="1:22" x14ac:dyDescent="0.25">
      <c r="A229" s="3">
        <v>224</v>
      </c>
      <c r="B229" s="85">
        <f>Mapa_RSD!B207</f>
        <v>0</v>
      </c>
      <c r="C229" s="136" t="e">
        <f>+R_S_Digital[[#This Row],[Código Riesgo]]</f>
        <v>#VALUE!</v>
      </c>
      <c r="D229" s="2"/>
      <c r="E229" s="141" t="str">
        <f>IF(C_S_Digital[[#This Row],[Responsable de ejecutar]]&lt;&gt;"",CONCATENATE(C_S_Digital[[#This Row],[Código riesgo]],"-",IF(C_S_Digital[[#This Row],[Código riesgo]]&lt;&gt;C228,1,RIGHT(E228,1)+1)),"")</f>
        <v/>
      </c>
      <c r="F229" s="147"/>
      <c r="G229" s="147"/>
      <c r="H229" s="147"/>
      <c r="I229" s="141" t="s">
        <v>105</v>
      </c>
      <c r="J229" s="141" t="s">
        <v>65</v>
      </c>
      <c r="K229" s="3"/>
      <c r="L229" s="3"/>
      <c r="M229" s="3"/>
      <c r="N229" s="3"/>
      <c r="O229" s="2"/>
      <c r="Q229" s="148"/>
      <c r="R229" s="148"/>
      <c r="S229" s="137">
        <f>_xlfn.XLOOKUP(CONCATENATE(C_S_Digital[[#This Row],[Momento de ejecución]],C_S_Digital[[#This Row],[Forma de ejecución]]),C_Atributos,C_Peso,"",0)</f>
        <v>0.25</v>
      </c>
      <c r="T229" s="141" t="str">
        <f>IFERROR(_xlfn.XLOOKUP(C_S_Digital[[#This Row],[Momento de ejecución]],C_Momento,C_Efecto,,0),"")</f>
        <v>Impacto</v>
      </c>
      <c r="U229" s="143" t="str">
        <f>IFERROR(IF(C_S_Digital[[#This Row],[Código riesgo]]&lt;&gt;C228,_xlfn.XLOOKUP(C229,R_S_Digital[Código Riesgo],#REF!,,0)*IF(C_S_Digital[[#This Row],[Efecto]]="Probabilidad",1-C_S_Digital[[#This Row],[Peso]],1),IF(C_S_Digital[[#This Row],[Efecto]]="Probabilidad",U228*(1-C_S_Digital[[#This Row],[Peso]]),U228)),"")</f>
        <v/>
      </c>
      <c r="V229" s="144" t="str">
        <f>IFERROR(IF(C_S_Digital[[#This Row],[Código riesgo]]&lt;&gt;C228,_xlfn.XLOOKUP(C_S_Digital[[#This Row],[Código riesgo]],R_S_Digital[Código Riesgo],#REF!,,0)*IF(C_S_Digital[[#This Row],[Efecto]]="Impacto",1-C_S_Digital[[#This Row],[Peso]],1),IF(C_S_Digital[[#This Row],[Efecto]]="Impacto",V228*(1-C_S_Digital[[#This Row],[Peso]]),V228)),"")</f>
        <v/>
      </c>
    </row>
    <row r="230" spans="1:22" x14ac:dyDescent="0.25">
      <c r="A230" s="3">
        <v>225</v>
      </c>
      <c r="B230" s="85">
        <f>Mapa_RSD!B208</f>
        <v>0</v>
      </c>
      <c r="C230" s="136" t="e">
        <f>+R_S_Digital[[#This Row],[Código Riesgo]]</f>
        <v>#VALUE!</v>
      </c>
      <c r="D230" s="2"/>
      <c r="E230" s="141" t="str">
        <f>IF(C_S_Digital[[#This Row],[Responsable de ejecutar]]&lt;&gt;"",CONCATENATE(C_S_Digital[[#This Row],[Código riesgo]],"-",IF(C_S_Digital[[#This Row],[Código riesgo]]&lt;&gt;C229,1,RIGHT(E229,1)+1)),"")</f>
        <v/>
      </c>
      <c r="F230" s="147"/>
      <c r="G230" s="147"/>
      <c r="H230" s="147"/>
      <c r="I230" s="141" t="s">
        <v>105</v>
      </c>
      <c r="J230" s="141" t="s">
        <v>65</v>
      </c>
      <c r="K230" s="3"/>
      <c r="L230" s="3"/>
      <c r="M230" s="3"/>
      <c r="N230" s="3"/>
      <c r="O230" s="2"/>
      <c r="Q230" s="148"/>
      <c r="R230" s="148"/>
      <c r="S230" s="137">
        <f>_xlfn.XLOOKUP(CONCATENATE(C_S_Digital[[#This Row],[Momento de ejecución]],C_S_Digital[[#This Row],[Forma de ejecución]]),C_Atributos,C_Peso,"",0)</f>
        <v>0.25</v>
      </c>
      <c r="T230" s="141" t="str">
        <f>IFERROR(_xlfn.XLOOKUP(C_S_Digital[[#This Row],[Momento de ejecución]],C_Momento,C_Efecto,,0),"")</f>
        <v>Impacto</v>
      </c>
      <c r="U230" s="143" t="str">
        <f>IFERROR(IF(C_S_Digital[[#This Row],[Código riesgo]]&lt;&gt;C229,_xlfn.XLOOKUP(C230,R_S_Digital[Código Riesgo],#REF!,,0)*IF(C_S_Digital[[#This Row],[Efecto]]="Probabilidad",1-C_S_Digital[[#This Row],[Peso]],1),IF(C_S_Digital[[#This Row],[Efecto]]="Probabilidad",U229*(1-C_S_Digital[[#This Row],[Peso]]),U229)),"")</f>
        <v/>
      </c>
      <c r="V230" s="144" t="str">
        <f>IFERROR(IF(C_S_Digital[[#This Row],[Código riesgo]]&lt;&gt;C229,_xlfn.XLOOKUP(C_S_Digital[[#This Row],[Código riesgo]],R_S_Digital[Código Riesgo],#REF!,,0)*IF(C_S_Digital[[#This Row],[Efecto]]="Impacto",1-C_S_Digital[[#This Row],[Peso]],1),IF(C_S_Digital[[#This Row],[Efecto]]="Impacto",V229*(1-C_S_Digital[[#This Row],[Peso]]),V229)),"")</f>
        <v/>
      </c>
    </row>
    <row r="231" spans="1:22" x14ac:dyDescent="0.25">
      <c r="A231" s="3">
        <v>226</v>
      </c>
      <c r="B231" s="85">
        <f>Mapa_RSD!B209</f>
        <v>0</v>
      </c>
      <c r="C231" s="136" t="e">
        <f>+R_S_Digital[[#This Row],[Código Riesgo]]</f>
        <v>#VALUE!</v>
      </c>
      <c r="D231" s="2"/>
      <c r="E231" s="141" t="str">
        <f>IF(C_S_Digital[[#This Row],[Responsable de ejecutar]]&lt;&gt;"",CONCATENATE(C_S_Digital[[#This Row],[Código riesgo]],"-",IF(C_S_Digital[[#This Row],[Código riesgo]]&lt;&gt;C230,1,RIGHT(E230,1)+1)),"")</f>
        <v/>
      </c>
      <c r="F231" s="147"/>
      <c r="G231" s="147"/>
      <c r="H231" s="147"/>
      <c r="I231" s="141" t="s">
        <v>105</v>
      </c>
      <c r="J231" s="141" t="s">
        <v>65</v>
      </c>
      <c r="K231" s="3"/>
      <c r="L231" s="3"/>
      <c r="M231" s="3"/>
      <c r="N231" s="3"/>
      <c r="O231" s="2"/>
      <c r="Q231" s="148"/>
      <c r="R231" s="148"/>
      <c r="S231" s="137">
        <f>_xlfn.XLOOKUP(CONCATENATE(C_S_Digital[[#This Row],[Momento de ejecución]],C_S_Digital[[#This Row],[Forma de ejecución]]),C_Atributos,C_Peso,"",0)</f>
        <v>0.25</v>
      </c>
      <c r="T231" s="141" t="str">
        <f>IFERROR(_xlfn.XLOOKUP(C_S_Digital[[#This Row],[Momento de ejecución]],C_Momento,C_Efecto,,0),"")</f>
        <v>Impacto</v>
      </c>
      <c r="U231" s="143" t="str">
        <f>IFERROR(IF(C_S_Digital[[#This Row],[Código riesgo]]&lt;&gt;C230,_xlfn.XLOOKUP(C231,R_S_Digital[Código Riesgo],#REF!,,0)*IF(C_S_Digital[[#This Row],[Efecto]]="Probabilidad",1-C_S_Digital[[#This Row],[Peso]],1),IF(C_S_Digital[[#This Row],[Efecto]]="Probabilidad",U230*(1-C_S_Digital[[#This Row],[Peso]]),U230)),"")</f>
        <v/>
      </c>
      <c r="V231" s="144" t="str">
        <f>IFERROR(IF(C_S_Digital[[#This Row],[Código riesgo]]&lt;&gt;C230,_xlfn.XLOOKUP(C_S_Digital[[#This Row],[Código riesgo]],R_S_Digital[Código Riesgo],#REF!,,0)*IF(C_S_Digital[[#This Row],[Efecto]]="Impacto",1-C_S_Digital[[#This Row],[Peso]],1),IF(C_S_Digital[[#This Row],[Efecto]]="Impacto",V230*(1-C_S_Digital[[#This Row],[Peso]]),V230)),"")</f>
        <v/>
      </c>
    </row>
    <row r="232" spans="1:22" x14ac:dyDescent="0.25">
      <c r="A232" s="3">
        <v>227</v>
      </c>
      <c r="B232" s="85">
        <f>Mapa_RSD!B210</f>
        <v>0</v>
      </c>
      <c r="C232" s="136" t="e">
        <f>+R_S_Digital[[#This Row],[Código Riesgo]]</f>
        <v>#VALUE!</v>
      </c>
      <c r="D232" s="2"/>
      <c r="E232" s="141" t="str">
        <f>IF(C_S_Digital[[#This Row],[Responsable de ejecutar]]&lt;&gt;"",CONCATENATE(C_S_Digital[[#This Row],[Código riesgo]],"-",IF(C_S_Digital[[#This Row],[Código riesgo]]&lt;&gt;C231,1,RIGHT(E231,1)+1)),"")</f>
        <v/>
      </c>
      <c r="F232" s="147"/>
      <c r="G232" s="147"/>
      <c r="H232" s="147"/>
      <c r="I232" s="141" t="s">
        <v>105</v>
      </c>
      <c r="J232" s="141" t="s">
        <v>65</v>
      </c>
      <c r="K232" s="3"/>
      <c r="L232" s="3"/>
      <c r="M232" s="3"/>
      <c r="N232" s="3"/>
      <c r="O232" s="2"/>
      <c r="Q232" s="148"/>
      <c r="R232" s="148"/>
      <c r="S232" s="137">
        <f>_xlfn.XLOOKUP(CONCATENATE(C_S_Digital[[#This Row],[Momento de ejecución]],C_S_Digital[[#This Row],[Forma de ejecución]]),C_Atributos,C_Peso,"",0)</f>
        <v>0.25</v>
      </c>
      <c r="T232" s="141" t="str">
        <f>IFERROR(_xlfn.XLOOKUP(C_S_Digital[[#This Row],[Momento de ejecución]],C_Momento,C_Efecto,,0),"")</f>
        <v>Impacto</v>
      </c>
      <c r="U232" s="143" t="str">
        <f>IFERROR(IF(C_S_Digital[[#This Row],[Código riesgo]]&lt;&gt;C231,_xlfn.XLOOKUP(C232,R_S_Digital[Código Riesgo],#REF!,,0)*IF(C_S_Digital[[#This Row],[Efecto]]="Probabilidad",1-C_S_Digital[[#This Row],[Peso]],1),IF(C_S_Digital[[#This Row],[Efecto]]="Probabilidad",U231*(1-C_S_Digital[[#This Row],[Peso]]),U231)),"")</f>
        <v/>
      </c>
      <c r="V232" s="144" t="str">
        <f>IFERROR(IF(C_S_Digital[[#This Row],[Código riesgo]]&lt;&gt;C231,_xlfn.XLOOKUP(C_S_Digital[[#This Row],[Código riesgo]],R_S_Digital[Código Riesgo],#REF!,,0)*IF(C_S_Digital[[#This Row],[Efecto]]="Impacto",1-C_S_Digital[[#This Row],[Peso]],1),IF(C_S_Digital[[#This Row],[Efecto]]="Impacto",V231*(1-C_S_Digital[[#This Row],[Peso]]),V231)),"")</f>
        <v/>
      </c>
    </row>
    <row r="233" spans="1:22" x14ac:dyDescent="0.25">
      <c r="A233" s="3">
        <v>228</v>
      </c>
      <c r="B233" s="85">
        <f>Mapa_RSD!B211</f>
        <v>0</v>
      </c>
      <c r="C233" s="136" t="e">
        <f>+R_S_Digital[[#This Row],[Código Riesgo]]</f>
        <v>#VALUE!</v>
      </c>
      <c r="D233" s="2"/>
      <c r="E233" s="141" t="str">
        <f>IF(C_S_Digital[[#This Row],[Responsable de ejecutar]]&lt;&gt;"",CONCATENATE(C_S_Digital[[#This Row],[Código riesgo]],"-",IF(C_S_Digital[[#This Row],[Código riesgo]]&lt;&gt;C232,1,RIGHT(E232,1)+1)),"")</f>
        <v/>
      </c>
      <c r="F233" s="147"/>
      <c r="G233" s="147"/>
      <c r="H233" s="147"/>
      <c r="I233" s="141" t="s">
        <v>105</v>
      </c>
      <c r="J233" s="141" t="s">
        <v>65</v>
      </c>
      <c r="K233" s="3"/>
      <c r="L233" s="3"/>
      <c r="M233" s="3"/>
      <c r="N233" s="3"/>
      <c r="O233" s="2"/>
      <c r="Q233" s="148"/>
      <c r="R233" s="148"/>
      <c r="S233" s="137">
        <f>_xlfn.XLOOKUP(CONCATENATE(C_S_Digital[[#This Row],[Momento de ejecución]],C_S_Digital[[#This Row],[Forma de ejecución]]),C_Atributos,C_Peso,"",0)</f>
        <v>0.25</v>
      </c>
      <c r="T233" s="141" t="str">
        <f>IFERROR(_xlfn.XLOOKUP(C_S_Digital[[#This Row],[Momento de ejecución]],C_Momento,C_Efecto,,0),"")</f>
        <v>Impacto</v>
      </c>
      <c r="U233" s="143" t="str">
        <f>IFERROR(IF(C_S_Digital[[#This Row],[Código riesgo]]&lt;&gt;C232,_xlfn.XLOOKUP(C233,R_S_Digital[Código Riesgo],#REF!,,0)*IF(C_S_Digital[[#This Row],[Efecto]]="Probabilidad",1-C_S_Digital[[#This Row],[Peso]],1),IF(C_S_Digital[[#This Row],[Efecto]]="Probabilidad",U232*(1-C_S_Digital[[#This Row],[Peso]]),U232)),"")</f>
        <v/>
      </c>
      <c r="V233" s="144" t="str">
        <f>IFERROR(IF(C_S_Digital[[#This Row],[Código riesgo]]&lt;&gt;C232,_xlfn.XLOOKUP(C_S_Digital[[#This Row],[Código riesgo]],R_S_Digital[Código Riesgo],#REF!,,0)*IF(C_S_Digital[[#This Row],[Efecto]]="Impacto",1-C_S_Digital[[#This Row],[Peso]],1),IF(C_S_Digital[[#This Row],[Efecto]]="Impacto",V232*(1-C_S_Digital[[#This Row],[Peso]]),V232)),"")</f>
        <v/>
      </c>
    </row>
    <row r="234" spans="1:22" x14ac:dyDescent="0.25">
      <c r="A234" s="3">
        <v>229</v>
      </c>
      <c r="B234" s="85">
        <f>Mapa_RSD!B212</f>
        <v>0</v>
      </c>
      <c r="C234" s="136" t="e">
        <f>+R_S_Digital[[#This Row],[Código Riesgo]]</f>
        <v>#VALUE!</v>
      </c>
      <c r="D234" s="2"/>
      <c r="E234" s="141" t="str">
        <f>IF(C_S_Digital[[#This Row],[Responsable de ejecutar]]&lt;&gt;"",CONCATENATE(C_S_Digital[[#This Row],[Código riesgo]],"-",IF(C_S_Digital[[#This Row],[Código riesgo]]&lt;&gt;C233,1,RIGHT(E233,1)+1)),"")</f>
        <v/>
      </c>
      <c r="F234" s="147"/>
      <c r="G234" s="147"/>
      <c r="H234" s="147"/>
      <c r="I234" s="141" t="s">
        <v>105</v>
      </c>
      <c r="J234" s="141" t="s">
        <v>65</v>
      </c>
      <c r="K234" s="3"/>
      <c r="L234" s="3"/>
      <c r="M234" s="3"/>
      <c r="N234" s="3"/>
      <c r="O234" s="2"/>
      <c r="Q234" s="148"/>
      <c r="R234" s="148"/>
      <c r="S234" s="137">
        <f>_xlfn.XLOOKUP(CONCATENATE(C_S_Digital[[#This Row],[Momento de ejecución]],C_S_Digital[[#This Row],[Forma de ejecución]]),C_Atributos,C_Peso,"",0)</f>
        <v>0.25</v>
      </c>
      <c r="T234" s="141" t="str">
        <f>IFERROR(_xlfn.XLOOKUP(C_S_Digital[[#This Row],[Momento de ejecución]],C_Momento,C_Efecto,,0),"")</f>
        <v>Impacto</v>
      </c>
      <c r="U234" s="143" t="str">
        <f>IFERROR(IF(C_S_Digital[[#This Row],[Código riesgo]]&lt;&gt;C233,_xlfn.XLOOKUP(C234,R_S_Digital[Código Riesgo],#REF!,,0)*IF(C_S_Digital[[#This Row],[Efecto]]="Probabilidad",1-C_S_Digital[[#This Row],[Peso]],1),IF(C_S_Digital[[#This Row],[Efecto]]="Probabilidad",U233*(1-C_S_Digital[[#This Row],[Peso]]),U233)),"")</f>
        <v/>
      </c>
      <c r="V234" s="144" t="str">
        <f>IFERROR(IF(C_S_Digital[[#This Row],[Código riesgo]]&lt;&gt;C233,_xlfn.XLOOKUP(C_S_Digital[[#This Row],[Código riesgo]],R_S_Digital[Código Riesgo],#REF!,,0)*IF(C_S_Digital[[#This Row],[Efecto]]="Impacto",1-C_S_Digital[[#This Row],[Peso]],1),IF(C_S_Digital[[#This Row],[Efecto]]="Impacto",V233*(1-C_S_Digital[[#This Row],[Peso]]),V233)),"")</f>
        <v/>
      </c>
    </row>
    <row r="235" spans="1:22" x14ac:dyDescent="0.25">
      <c r="A235" s="3">
        <v>230</v>
      </c>
      <c r="B235" s="85">
        <f>Mapa_RSD!B213</f>
        <v>0</v>
      </c>
      <c r="C235" s="136" t="e">
        <f>+R_S_Digital[[#This Row],[Código Riesgo]]</f>
        <v>#VALUE!</v>
      </c>
      <c r="D235" s="2"/>
      <c r="E235" s="141" t="str">
        <f>IF(C_S_Digital[[#This Row],[Responsable de ejecutar]]&lt;&gt;"",CONCATENATE(C_S_Digital[[#This Row],[Código riesgo]],"-",IF(C_S_Digital[[#This Row],[Código riesgo]]&lt;&gt;C234,1,RIGHT(E234,1)+1)),"")</f>
        <v/>
      </c>
      <c r="F235" s="147"/>
      <c r="G235" s="147"/>
      <c r="H235" s="147"/>
      <c r="I235" s="141" t="s">
        <v>105</v>
      </c>
      <c r="J235" s="141" t="s">
        <v>65</v>
      </c>
      <c r="K235" s="3"/>
      <c r="L235" s="3"/>
      <c r="M235" s="3"/>
      <c r="N235" s="3"/>
      <c r="O235" s="2"/>
      <c r="Q235" s="148"/>
      <c r="R235" s="148"/>
      <c r="S235" s="137">
        <f>_xlfn.XLOOKUP(CONCATENATE(C_S_Digital[[#This Row],[Momento de ejecución]],C_S_Digital[[#This Row],[Forma de ejecución]]),C_Atributos,C_Peso,"",0)</f>
        <v>0.25</v>
      </c>
      <c r="T235" s="141" t="str">
        <f>IFERROR(_xlfn.XLOOKUP(C_S_Digital[[#This Row],[Momento de ejecución]],C_Momento,C_Efecto,,0),"")</f>
        <v>Impacto</v>
      </c>
      <c r="U235" s="143" t="str">
        <f>IFERROR(IF(C_S_Digital[[#This Row],[Código riesgo]]&lt;&gt;C234,_xlfn.XLOOKUP(C235,R_S_Digital[Código Riesgo],#REF!,,0)*IF(C_S_Digital[[#This Row],[Efecto]]="Probabilidad",1-C_S_Digital[[#This Row],[Peso]],1),IF(C_S_Digital[[#This Row],[Efecto]]="Probabilidad",U234*(1-C_S_Digital[[#This Row],[Peso]]),U234)),"")</f>
        <v/>
      </c>
      <c r="V235" s="144" t="str">
        <f>IFERROR(IF(C_S_Digital[[#This Row],[Código riesgo]]&lt;&gt;C234,_xlfn.XLOOKUP(C_S_Digital[[#This Row],[Código riesgo]],R_S_Digital[Código Riesgo],#REF!,,0)*IF(C_S_Digital[[#This Row],[Efecto]]="Impacto",1-C_S_Digital[[#This Row],[Peso]],1),IF(C_S_Digital[[#This Row],[Efecto]]="Impacto",V234*(1-C_S_Digital[[#This Row],[Peso]]),V234)),"")</f>
        <v/>
      </c>
    </row>
    <row r="236" spans="1:22" x14ac:dyDescent="0.25">
      <c r="A236" s="3">
        <v>231</v>
      </c>
      <c r="B236" s="85">
        <f>Mapa_RSD!B214</f>
        <v>0</v>
      </c>
      <c r="C236" s="136" t="e">
        <f>+R_S_Digital[[#This Row],[Código Riesgo]]</f>
        <v>#VALUE!</v>
      </c>
      <c r="D236" s="2"/>
      <c r="E236" s="141" t="str">
        <f>IF(C_S_Digital[[#This Row],[Responsable de ejecutar]]&lt;&gt;"",CONCATENATE(C_S_Digital[[#This Row],[Código riesgo]],"-",IF(C_S_Digital[[#This Row],[Código riesgo]]&lt;&gt;C235,1,RIGHT(E235,1)+1)),"")</f>
        <v/>
      </c>
      <c r="F236" s="147"/>
      <c r="G236" s="147"/>
      <c r="H236" s="147"/>
      <c r="I236" s="141" t="s">
        <v>105</v>
      </c>
      <c r="J236" s="141" t="s">
        <v>65</v>
      </c>
      <c r="K236" s="3"/>
      <c r="L236" s="3"/>
      <c r="M236" s="3"/>
      <c r="N236" s="3"/>
      <c r="O236" s="2"/>
      <c r="Q236" s="148"/>
      <c r="R236" s="148"/>
      <c r="S236" s="137">
        <f>_xlfn.XLOOKUP(CONCATENATE(C_S_Digital[[#This Row],[Momento de ejecución]],C_S_Digital[[#This Row],[Forma de ejecución]]),C_Atributos,C_Peso,"",0)</f>
        <v>0.25</v>
      </c>
      <c r="T236" s="141" t="str">
        <f>IFERROR(_xlfn.XLOOKUP(C_S_Digital[[#This Row],[Momento de ejecución]],C_Momento,C_Efecto,,0),"")</f>
        <v>Impacto</v>
      </c>
      <c r="U236" s="143" t="str">
        <f>IFERROR(IF(C_S_Digital[[#This Row],[Código riesgo]]&lt;&gt;C235,_xlfn.XLOOKUP(C236,R_S_Digital[Código Riesgo],#REF!,,0)*IF(C_S_Digital[[#This Row],[Efecto]]="Probabilidad",1-C_S_Digital[[#This Row],[Peso]],1),IF(C_S_Digital[[#This Row],[Efecto]]="Probabilidad",U235*(1-C_S_Digital[[#This Row],[Peso]]),U235)),"")</f>
        <v/>
      </c>
      <c r="V236" s="144" t="str">
        <f>IFERROR(IF(C_S_Digital[[#This Row],[Código riesgo]]&lt;&gt;C235,_xlfn.XLOOKUP(C_S_Digital[[#This Row],[Código riesgo]],R_S_Digital[Código Riesgo],#REF!,,0)*IF(C_S_Digital[[#This Row],[Efecto]]="Impacto",1-C_S_Digital[[#This Row],[Peso]],1),IF(C_S_Digital[[#This Row],[Efecto]]="Impacto",V235*(1-C_S_Digital[[#This Row],[Peso]]),V235)),"")</f>
        <v/>
      </c>
    </row>
    <row r="237" spans="1:22" x14ac:dyDescent="0.25">
      <c r="A237" s="3">
        <v>232</v>
      </c>
      <c r="B237" s="85">
        <f>Mapa_RSD!B215</f>
        <v>0</v>
      </c>
      <c r="C237" s="136" t="e">
        <f>+R_S_Digital[[#This Row],[Código Riesgo]]</f>
        <v>#VALUE!</v>
      </c>
      <c r="D237" s="2"/>
      <c r="E237" s="141" t="str">
        <f>IF(C_S_Digital[[#This Row],[Responsable de ejecutar]]&lt;&gt;"",CONCATENATE(C_S_Digital[[#This Row],[Código riesgo]],"-",IF(C_S_Digital[[#This Row],[Código riesgo]]&lt;&gt;C236,1,RIGHT(E236,1)+1)),"")</f>
        <v/>
      </c>
      <c r="F237" s="147"/>
      <c r="G237" s="147"/>
      <c r="H237" s="147"/>
      <c r="I237" s="141" t="s">
        <v>105</v>
      </c>
      <c r="J237" s="141" t="s">
        <v>65</v>
      </c>
      <c r="K237" s="3"/>
      <c r="L237" s="3"/>
      <c r="M237" s="3"/>
      <c r="N237" s="3"/>
      <c r="O237" s="2"/>
      <c r="Q237" s="148"/>
      <c r="R237" s="148"/>
      <c r="S237" s="137">
        <f>_xlfn.XLOOKUP(CONCATENATE(C_S_Digital[[#This Row],[Momento de ejecución]],C_S_Digital[[#This Row],[Forma de ejecución]]),C_Atributos,C_Peso,"",0)</f>
        <v>0.25</v>
      </c>
      <c r="T237" s="141" t="str">
        <f>IFERROR(_xlfn.XLOOKUP(C_S_Digital[[#This Row],[Momento de ejecución]],C_Momento,C_Efecto,,0),"")</f>
        <v>Impacto</v>
      </c>
      <c r="U237" s="143" t="str">
        <f>IFERROR(IF(C_S_Digital[[#This Row],[Código riesgo]]&lt;&gt;C236,_xlfn.XLOOKUP(C237,R_S_Digital[Código Riesgo],#REF!,,0)*IF(C_S_Digital[[#This Row],[Efecto]]="Probabilidad",1-C_S_Digital[[#This Row],[Peso]],1),IF(C_S_Digital[[#This Row],[Efecto]]="Probabilidad",U236*(1-C_S_Digital[[#This Row],[Peso]]),U236)),"")</f>
        <v/>
      </c>
      <c r="V237" s="144" t="str">
        <f>IFERROR(IF(C_S_Digital[[#This Row],[Código riesgo]]&lt;&gt;C236,_xlfn.XLOOKUP(C_S_Digital[[#This Row],[Código riesgo]],R_S_Digital[Código Riesgo],#REF!,,0)*IF(C_S_Digital[[#This Row],[Efecto]]="Impacto",1-C_S_Digital[[#This Row],[Peso]],1),IF(C_S_Digital[[#This Row],[Efecto]]="Impacto",V236*(1-C_S_Digital[[#This Row],[Peso]]),V236)),"")</f>
        <v/>
      </c>
    </row>
    <row r="238" spans="1:22" x14ac:dyDescent="0.25">
      <c r="A238" s="3">
        <v>233</v>
      </c>
      <c r="B238" s="85">
        <f>Mapa_RSD!B216</f>
        <v>0</v>
      </c>
      <c r="C238" s="136" t="e">
        <f>+R_S_Digital[[#This Row],[Código Riesgo]]</f>
        <v>#VALUE!</v>
      </c>
      <c r="D238" s="2"/>
      <c r="E238" s="141" t="str">
        <f>IF(C_S_Digital[[#This Row],[Responsable de ejecutar]]&lt;&gt;"",CONCATENATE(C_S_Digital[[#This Row],[Código riesgo]],"-",IF(C_S_Digital[[#This Row],[Código riesgo]]&lt;&gt;C237,1,RIGHT(E237,1)+1)),"")</f>
        <v/>
      </c>
      <c r="F238" s="147"/>
      <c r="G238" s="147"/>
      <c r="H238" s="147"/>
      <c r="I238" s="141" t="s">
        <v>105</v>
      </c>
      <c r="J238" s="141" t="s">
        <v>65</v>
      </c>
      <c r="K238" s="3"/>
      <c r="L238" s="3"/>
      <c r="M238" s="3"/>
      <c r="N238" s="3"/>
      <c r="O238" s="2"/>
      <c r="Q238" s="148"/>
      <c r="R238" s="148"/>
      <c r="S238" s="137">
        <f>_xlfn.XLOOKUP(CONCATENATE(C_S_Digital[[#This Row],[Momento de ejecución]],C_S_Digital[[#This Row],[Forma de ejecución]]),C_Atributos,C_Peso,"",0)</f>
        <v>0.25</v>
      </c>
      <c r="T238" s="141" t="str">
        <f>IFERROR(_xlfn.XLOOKUP(C_S_Digital[[#This Row],[Momento de ejecución]],C_Momento,C_Efecto,,0),"")</f>
        <v>Impacto</v>
      </c>
      <c r="U238" s="143" t="str">
        <f>IFERROR(IF(C_S_Digital[[#This Row],[Código riesgo]]&lt;&gt;C237,_xlfn.XLOOKUP(C238,R_S_Digital[Código Riesgo],#REF!,,0)*IF(C_S_Digital[[#This Row],[Efecto]]="Probabilidad",1-C_S_Digital[[#This Row],[Peso]],1),IF(C_S_Digital[[#This Row],[Efecto]]="Probabilidad",U237*(1-C_S_Digital[[#This Row],[Peso]]),U237)),"")</f>
        <v/>
      </c>
      <c r="V238" s="144" t="str">
        <f>IFERROR(IF(C_S_Digital[[#This Row],[Código riesgo]]&lt;&gt;C237,_xlfn.XLOOKUP(C_S_Digital[[#This Row],[Código riesgo]],R_S_Digital[Código Riesgo],#REF!,,0)*IF(C_S_Digital[[#This Row],[Efecto]]="Impacto",1-C_S_Digital[[#This Row],[Peso]],1),IF(C_S_Digital[[#This Row],[Efecto]]="Impacto",V237*(1-C_S_Digital[[#This Row],[Peso]]),V237)),"")</f>
        <v/>
      </c>
    </row>
    <row r="239" spans="1:22" x14ac:dyDescent="0.25">
      <c r="A239" s="3">
        <v>234</v>
      </c>
      <c r="B239" s="85">
        <f>Mapa_RSD!B217</f>
        <v>0</v>
      </c>
      <c r="C239" s="136" t="e">
        <f>+R_S_Digital[[#This Row],[Código Riesgo]]</f>
        <v>#VALUE!</v>
      </c>
      <c r="D239" s="2"/>
      <c r="E239" s="141" t="str">
        <f>IF(C_S_Digital[[#This Row],[Responsable de ejecutar]]&lt;&gt;"",CONCATENATE(C_S_Digital[[#This Row],[Código riesgo]],"-",IF(C_S_Digital[[#This Row],[Código riesgo]]&lt;&gt;C238,1,RIGHT(E238,1)+1)),"")</f>
        <v/>
      </c>
      <c r="F239" s="147"/>
      <c r="G239" s="147"/>
      <c r="H239" s="147"/>
      <c r="I239" s="141" t="s">
        <v>105</v>
      </c>
      <c r="J239" s="141" t="s">
        <v>65</v>
      </c>
      <c r="K239" s="3"/>
      <c r="L239" s="3"/>
      <c r="M239" s="3"/>
      <c r="N239" s="3"/>
      <c r="O239" s="2"/>
      <c r="Q239" s="148"/>
      <c r="R239" s="148"/>
      <c r="S239" s="137">
        <f>_xlfn.XLOOKUP(CONCATENATE(C_S_Digital[[#This Row],[Momento de ejecución]],C_S_Digital[[#This Row],[Forma de ejecución]]),C_Atributos,C_Peso,"",0)</f>
        <v>0.25</v>
      </c>
      <c r="T239" s="141" t="str">
        <f>IFERROR(_xlfn.XLOOKUP(C_S_Digital[[#This Row],[Momento de ejecución]],C_Momento,C_Efecto,,0),"")</f>
        <v>Impacto</v>
      </c>
      <c r="U239" s="143" t="str">
        <f>IFERROR(IF(C_S_Digital[[#This Row],[Código riesgo]]&lt;&gt;C238,_xlfn.XLOOKUP(C239,R_S_Digital[Código Riesgo],#REF!,,0)*IF(C_S_Digital[[#This Row],[Efecto]]="Probabilidad",1-C_S_Digital[[#This Row],[Peso]],1),IF(C_S_Digital[[#This Row],[Efecto]]="Probabilidad",U238*(1-C_S_Digital[[#This Row],[Peso]]),U238)),"")</f>
        <v/>
      </c>
      <c r="V239" s="144" t="str">
        <f>IFERROR(IF(C_S_Digital[[#This Row],[Código riesgo]]&lt;&gt;C238,_xlfn.XLOOKUP(C_S_Digital[[#This Row],[Código riesgo]],R_S_Digital[Código Riesgo],#REF!,,0)*IF(C_S_Digital[[#This Row],[Efecto]]="Impacto",1-C_S_Digital[[#This Row],[Peso]],1),IF(C_S_Digital[[#This Row],[Efecto]]="Impacto",V238*(1-C_S_Digital[[#This Row],[Peso]]),V238)),"")</f>
        <v/>
      </c>
    </row>
    <row r="240" spans="1:22" x14ac:dyDescent="0.25">
      <c r="A240" s="3">
        <v>235</v>
      </c>
      <c r="B240" s="85">
        <f>Mapa_RSD!B218</f>
        <v>0</v>
      </c>
      <c r="C240" s="136" t="e">
        <f>+R_S_Digital[[#This Row],[Código Riesgo]]</f>
        <v>#VALUE!</v>
      </c>
      <c r="D240" s="2"/>
      <c r="E240" s="141" t="str">
        <f>IF(C_S_Digital[[#This Row],[Responsable de ejecutar]]&lt;&gt;"",CONCATENATE(C_S_Digital[[#This Row],[Código riesgo]],"-",IF(C_S_Digital[[#This Row],[Código riesgo]]&lt;&gt;C239,1,RIGHT(E239,1)+1)),"")</f>
        <v/>
      </c>
      <c r="F240" s="147"/>
      <c r="G240" s="147"/>
      <c r="H240" s="147"/>
      <c r="I240" s="141" t="s">
        <v>105</v>
      </c>
      <c r="J240" s="141" t="s">
        <v>65</v>
      </c>
      <c r="K240" s="3"/>
      <c r="L240" s="3"/>
      <c r="M240" s="3"/>
      <c r="N240" s="3"/>
      <c r="O240" s="2"/>
      <c r="Q240" s="148"/>
      <c r="R240" s="148"/>
      <c r="S240" s="137">
        <f>_xlfn.XLOOKUP(CONCATENATE(C_S_Digital[[#This Row],[Momento de ejecución]],C_S_Digital[[#This Row],[Forma de ejecución]]),C_Atributos,C_Peso,"",0)</f>
        <v>0.25</v>
      </c>
      <c r="T240" s="141" t="str">
        <f>IFERROR(_xlfn.XLOOKUP(C_S_Digital[[#This Row],[Momento de ejecución]],C_Momento,C_Efecto,,0),"")</f>
        <v>Impacto</v>
      </c>
      <c r="U240" s="143" t="str">
        <f>IFERROR(IF(C_S_Digital[[#This Row],[Código riesgo]]&lt;&gt;C239,_xlfn.XLOOKUP(C240,R_S_Digital[Código Riesgo],#REF!,,0)*IF(C_S_Digital[[#This Row],[Efecto]]="Probabilidad",1-C_S_Digital[[#This Row],[Peso]],1),IF(C_S_Digital[[#This Row],[Efecto]]="Probabilidad",U239*(1-C_S_Digital[[#This Row],[Peso]]),U239)),"")</f>
        <v/>
      </c>
      <c r="V240" s="144" t="str">
        <f>IFERROR(IF(C_S_Digital[[#This Row],[Código riesgo]]&lt;&gt;C239,_xlfn.XLOOKUP(C_S_Digital[[#This Row],[Código riesgo]],R_S_Digital[Código Riesgo],#REF!,,0)*IF(C_S_Digital[[#This Row],[Efecto]]="Impacto",1-C_S_Digital[[#This Row],[Peso]],1),IF(C_S_Digital[[#This Row],[Efecto]]="Impacto",V239*(1-C_S_Digital[[#This Row],[Peso]]),V239)),"")</f>
        <v/>
      </c>
    </row>
    <row r="241" spans="1:22" x14ac:dyDescent="0.25">
      <c r="A241" s="3">
        <v>236</v>
      </c>
      <c r="B241" s="85">
        <f>Mapa_RSD!B219</f>
        <v>0</v>
      </c>
      <c r="C241" s="136" t="e">
        <f>+R_S_Digital[[#This Row],[Código Riesgo]]</f>
        <v>#VALUE!</v>
      </c>
      <c r="D241" s="2"/>
      <c r="E241" s="141" t="str">
        <f>IF(C_S_Digital[[#This Row],[Responsable de ejecutar]]&lt;&gt;"",CONCATENATE(C_S_Digital[[#This Row],[Código riesgo]],"-",IF(C_S_Digital[[#This Row],[Código riesgo]]&lt;&gt;C240,1,RIGHT(E240,1)+1)),"")</f>
        <v/>
      </c>
      <c r="F241" s="147"/>
      <c r="G241" s="147"/>
      <c r="H241" s="147"/>
      <c r="I241" s="141" t="s">
        <v>105</v>
      </c>
      <c r="J241" s="141" t="s">
        <v>65</v>
      </c>
      <c r="K241" s="3"/>
      <c r="L241" s="3"/>
      <c r="M241" s="3"/>
      <c r="N241" s="3"/>
      <c r="O241" s="2"/>
      <c r="Q241" s="148"/>
      <c r="R241" s="148"/>
      <c r="S241" s="137">
        <f>_xlfn.XLOOKUP(CONCATENATE(C_S_Digital[[#This Row],[Momento de ejecución]],C_S_Digital[[#This Row],[Forma de ejecución]]),C_Atributos,C_Peso,"",0)</f>
        <v>0.25</v>
      </c>
      <c r="T241" s="141" t="str">
        <f>IFERROR(_xlfn.XLOOKUP(C_S_Digital[[#This Row],[Momento de ejecución]],C_Momento,C_Efecto,,0),"")</f>
        <v>Impacto</v>
      </c>
      <c r="U241" s="143" t="str">
        <f>IFERROR(IF(C_S_Digital[[#This Row],[Código riesgo]]&lt;&gt;C240,_xlfn.XLOOKUP(C241,R_S_Digital[Código Riesgo],#REF!,,0)*IF(C_S_Digital[[#This Row],[Efecto]]="Probabilidad",1-C_S_Digital[[#This Row],[Peso]],1),IF(C_S_Digital[[#This Row],[Efecto]]="Probabilidad",U240*(1-C_S_Digital[[#This Row],[Peso]]),U240)),"")</f>
        <v/>
      </c>
      <c r="V241" s="144" t="str">
        <f>IFERROR(IF(C_S_Digital[[#This Row],[Código riesgo]]&lt;&gt;C240,_xlfn.XLOOKUP(C_S_Digital[[#This Row],[Código riesgo]],R_S_Digital[Código Riesgo],#REF!,,0)*IF(C_S_Digital[[#This Row],[Efecto]]="Impacto",1-C_S_Digital[[#This Row],[Peso]],1),IF(C_S_Digital[[#This Row],[Efecto]]="Impacto",V240*(1-C_S_Digital[[#This Row],[Peso]]),V240)),"")</f>
        <v/>
      </c>
    </row>
    <row r="242" spans="1:22" x14ac:dyDescent="0.25">
      <c r="A242" s="3">
        <v>237</v>
      </c>
      <c r="B242" s="85">
        <f>Mapa_RSD!B220</f>
        <v>0</v>
      </c>
      <c r="C242" s="136" t="e">
        <f>+R_S_Digital[[#This Row],[Código Riesgo]]</f>
        <v>#VALUE!</v>
      </c>
      <c r="D242" s="2"/>
      <c r="E242" s="141" t="str">
        <f>IF(C_S_Digital[[#This Row],[Responsable de ejecutar]]&lt;&gt;"",CONCATENATE(C_S_Digital[[#This Row],[Código riesgo]],"-",IF(C_S_Digital[[#This Row],[Código riesgo]]&lt;&gt;C241,1,RIGHT(E241,1)+1)),"")</f>
        <v/>
      </c>
      <c r="F242" s="147"/>
      <c r="G242" s="147"/>
      <c r="H242" s="147"/>
      <c r="I242" s="141" t="s">
        <v>105</v>
      </c>
      <c r="J242" s="141" t="s">
        <v>65</v>
      </c>
      <c r="K242" s="3"/>
      <c r="L242" s="3"/>
      <c r="M242" s="3"/>
      <c r="N242" s="3"/>
      <c r="O242" s="2"/>
      <c r="Q242" s="148"/>
      <c r="R242" s="148"/>
      <c r="S242" s="137">
        <f>_xlfn.XLOOKUP(CONCATENATE(C_S_Digital[[#This Row],[Momento de ejecución]],C_S_Digital[[#This Row],[Forma de ejecución]]),C_Atributos,C_Peso,"",0)</f>
        <v>0.25</v>
      </c>
      <c r="T242" s="141" t="str">
        <f>IFERROR(_xlfn.XLOOKUP(C_S_Digital[[#This Row],[Momento de ejecución]],C_Momento,C_Efecto,,0),"")</f>
        <v>Impacto</v>
      </c>
      <c r="U242" s="143" t="str">
        <f>IFERROR(IF(C_S_Digital[[#This Row],[Código riesgo]]&lt;&gt;C241,_xlfn.XLOOKUP(C242,R_S_Digital[Código Riesgo],#REF!,,0)*IF(C_S_Digital[[#This Row],[Efecto]]="Probabilidad",1-C_S_Digital[[#This Row],[Peso]],1),IF(C_S_Digital[[#This Row],[Efecto]]="Probabilidad",U241*(1-C_S_Digital[[#This Row],[Peso]]),U241)),"")</f>
        <v/>
      </c>
      <c r="V242" s="144" t="str">
        <f>IFERROR(IF(C_S_Digital[[#This Row],[Código riesgo]]&lt;&gt;C241,_xlfn.XLOOKUP(C_S_Digital[[#This Row],[Código riesgo]],R_S_Digital[Código Riesgo],#REF!,,0)*IF(C_S_Digital[[#This Row],[Efecto]]="Impacto",1-C_S_Digital[[#This Row],[Peso]],1),IF(C_S_Digital[[#This Row],[Efecto]]="Impacto",V241*(1-C_S_Digital[[#This Row],[Peso]]),V241)),"")</f>
        <v/>
      </c>
    </row>
    <row r="243" spans="1:22" x14ac:dyDescent="0.25">
      <c r="A243" s="3">
        <v>238</v>
      </c>
      <c r="B243" s="85">
        <f>Mapa_RSD!B221</f>
        <v>0</v>
      </c>
      <c r="C243" s="136" t="e">
        <f>+R_S_Digital[[#This Row],[Código Riesgo]]</f>
        <v>#VALUE!</v>
      </c>
      <c r="D243" s="2"/>
      <c r="E243" s="141" t="str">
        <f>IF(C_S_Digital[[#This Row],[Responsable de ejecutar]]&lt;&gt;"",CONCATENATE(C_S_Digital[[#This Row],[Código riesgo]],"-",IF(C_S_Digital[[#This Row],[Código riesgo]]&lt;&gt;C242,1,RIGHT(E242,1)+1)),"")</f>
        <v/>
      </c>
      <c r="F243" s="147"/>
      <c r="G243" s="147"/>
      <c r="H243" s="147"/>
      <c r="I243" s="141" t="s">
        <v>105</v>
      </c>
      <c r="J243" s="141" t="s">
        <v>65</v>
      </c>
      <c r="K243" s="3"/>
      <c r="L243" s="3"/>
      <c r="M243" s="3"/>
      <c r="N243" s="3"/>
      <c r="O243" s="2"/>
      <c r="Q243" s="148"/>
      <c r="R243" s="148"/>
      <c r="S243" s="137">
        <f>_xlfn.XLOOKUP(CONCATENATE(C_S_Digital[[#This Row],[Momento de ejecución]],C_S_Digital[[#This Row],[Forma de ejecución]]),C_Atributos,C_Peso,"",0)</f>
        <v>0.25</v>
      </c>
      <c r="T243" s="141" t="str">
        <f>IFERROR(_xlfn.XLOOKUP(C_S_Digital[[#This Row],[Momento de ejecución]],C_Momento,C_Efecto,,0),"")</f>
        <v>Impacto</v>
      </c>
      <c r="U243" s="143" t="str">
        <f>IFERROR(IF(C_S_Digital[[#This Row],[Código riesgo]]&lt;&gt;C242,_xlfn.XLOOKUP(C243,R_S_Digital[Código Riesgo],#REF!,,0)*IF(C_S_Digital[[#This Row],[Efecto]]="Probabilidad",1-C_S_Digital[[#This Row],[Peso]],1),IF(C_S_Digital[[#This Row],[Efecto]]="Probabilidad",U242*(1-C_S_Digital[[#This Row],[Peso]]),U242)),"")</f>
        <v/>
      </c>
      <c r="V243" s="144" t="str">
        <f>IFERROR(IF(C_S_Digital[[#This Row],[Código riesgo]]&lt;&gt;C242,_xlfn.XLOOKUP(C_S_Digital[[#This Row],[Código riesgo]],R_S_Digital[Código Riesgo],#REF!,,0)*IF(C_S_Digital[[#This Row],[Efecto]]="Impacto",1-C_S_Digital[[#This Row],[Peso]],1),IF(C_S_Digital[[#This Row],[Efecto]]="Impacto",V242*(1-C_S_Digital[[#This Row],[Peso]]),V242)),"")</f>
        <v/>
      </c>
    </row>
    <row r="244" spans="1:22" x14ac:dyDescent="0.25">
      <c r="A244" s="3">
        <v>239</v>
      </c>
      <c r="B244" s="85">
        <f>Mapa_RSD!B222</f>
        <v>0</v>
      </c>
      <c r="C244" s="136" t="e">
        <f>+R_S_Digital[[#This Row],[Código Riesgo]]</f>
        <v>#VALUE!</v>
      </c>
      <c r="D244" s="2"/>
      <c r="E244" s="141" t="str">
        <f>IF(C_S_Digital[[#This Row],[Responsable de ejecutar]]&lt;&gt;"",CONCATENATE(C_S_Digital[[#This Row],[Código riesgo]],"-",IF(C_S_Digital[[#This Row],[Código riesgo]]&lt;&gt;C243,1,RIGHT(E243,1)+1)),"")</f>
        <v/>
      </c>
      <c r="F244" s="147"/>
      <c r="G244" s="147"/>
      <c r="H244" s="147"/>
      <c r="I244" s="141" t="s">
        <v>105</v>
      </c>
      <c r="J244" s="141" t="s">
        <v>65</v>
      </c>
      <c r="K244" s="3"/>
      <c r="L244" s="3"/>
      <c r="M244" s="3"/>
      <c r="N244" s="3"/>
      <c r="O244" s="2"/>
      <c r="Q244" s="148"/>
      <c r="R244" s="148"/>
      <c r="S244" s="137">
        <f>_xlfn.XLOOKUP(CONCATENATE(C_S_Digital[[#This Row],[Momento de ejecución]],C_S_Digital[[#This Row],[Forma de ejecución]]),C_Atributos,C_Peso,"",0)</f>
        <v>0.25</v>
      </c>
      <c r="T244" s="141" t="str">
        <f>IFERROR(_xlfn.XLOOKUP(C_S_Digital[[#This Row],[Momento de ejecución]],C_Momento,C_Efecto,,0),"")</f>
        <v>Impacto</v>
      </c>
      <c r="U244" s="143" t="str">
        <f>IFERROR(IF(C_S_Digital[[#This Row],[Código riesgo]]&lt;&gt;C243,_xlfn.XLOOKUP(C244,R_S_Digital[Código Riesgo],#REF!,,0)*IF(C_S_Digital[[#This Row],[Efecto]]="Probabilidad",1-C_S_Digital[[#This Row],[Peso]],1),IF(C_S_Digital[[#This Row],[Efecto]]="Probabilidad",U243*(1-C_S_Digital[[#This Row],[Peso]]),U243)),"")</f>
        <v/>
      </c>
      <c r="V244" s="144" t="str">
        <f>IFERROR(IF(C_S_Digital[[#This Row],[Código riesgo]]&lt;&gt;C243,_xlfn.XLOOKUP(C_S_Digital[[#This Row],[Código riesgo]],R_S_Digital[Código Riesgo],#REF!,,0)*IF(C_S_Digital[[#This Row],[Efecto]]="Impacto",1-C_S_Digital[[#This Row],[Peso]],1),IF(C_S_Digital[[#This Row],[Efecto]]="Impacto",V243*(1-C_S_Digital[[#This Row],[Peso]]),V243)),"")</f>
        <v/>
      </c>
    </row>
    <row r="245" spans="1:22" x14ac:dyDescent="0.25">
      <c r="A245" s="3">
        <v>240</v>
      </c>
      <c r="B245" s="85">
        <f>Mapa_RSD!B223</f>
        <v>0</v>
      </c>
      <c r="C245" s="136" t="e">
        <f>+R_S_Digital[[#This Row],[Código Riesgo]]</f>
        <v>#VALUE!</v>
      </c>
      <c r="D245" s="2"/>
      <c r="E245" s="141" t="str">
        <f>IF(C_S_Digital[[#This Row],[Responsable de ejecutar]]&lt;&gt;"",CONCATENATE(C_S_Digital[[#This Row],[Código riesgo]],"-",IF(C_S_Digital[[#This Row],[Código riesgo]]&lt;&gt;C244,1,RIGHT(E244,1)+1)),"")</f>
        <v/>
      </c>
      <c r="F245" s="147"/>
      <c r="G245" s="147"/>
      <c r="H245" s="147"/>
      <c r="I245" s="141" t="s">
        <v>105</v>
      </c>
      <c r="J245" s="141" t="s">
        <v>65</v>
      </c>
      <c r="K245" s="3"/>
      <c r="L245" s="3"/>
      <c r="M245" s="3"/>
      <c r="N245" s="3"/>
      <c r="O245" s="2"/>
      <c r="Q245" s="148"/>
      <c r="R245" s="148"/>
      <c r="S245" s="137">
        <f>_xlfn.XLOOKUP(CONCATENATE(C_S_Digital[[#This Row],[Momento de ejecución]],C_S_Digital[[#This Row],[Forma de ejecución]]),C_Atributos,C_Peso,"",0)</f>
        <v>0.25</v>
      </c>
      <c r="T245" s="141" t="str">
        <f>IFERROR(_xlfn.XLOOKUP(C_S_Digital[[#This Row],[Momento de ejecución]],C_Momento,C_Efecto,,0),"")</f>
        <v>Impacto</v>
      </c>
      <c r="U245" s="143" t="str">
        <f>IFERROR(IF(C_S_Digital[[#This Row],[Código riesgo]]&lt;&gt;C244,_xlfn.XLOOKUP(C245,R_S_Digital[Código Riesgo],#REF!,,0)*IF(C_S_Digital[[#This Row],[Efecto]]="Probabilidad",1-C_S_Digital[[#This Row],[Peso]],1),IF(C_S_Digital[[#This Row],[Efecto]]="Probabilidad",U244*(1-C_S_Digital[[#This Row],[Peso]]),U244)),"")</f>
        <v/>
      </c>
      <c r="V245" s="144" t="str">
        <f>IFERROR(IF(C_S_Digital[[#This Row],[Código riesgo]]&lt;&gt;C244,_xlfn.XLOOKUP(C_S_Digital[[#This Row],[Código riesgo]],R_S_Digital[Código Riesgo],#REF!,,0)*IF(C_S_Digital[[#This Row],[Efecto]]="Impacto",1-C_S_Digital[[#This Row],[Peso]],1),IF(C_S_Digital[[#This Row],[Efecto]]="Impacto",V244*(1-C_S_Digital[[#This Row],[Peso]]),V244)),"")</f>
        <v/>
      </c>
    </row>
    <row r="246" spans="1:22" x14ac:dyDescent="0.25">
      <c r="A246" s="3">
        <v>241</v>
      </c>
      <c r="B246" s="85">
        <f>Mapa_RSD!B224</f>
        <v>0</v>
      </c>
      <c r="C246" s="136" t="e">
        <f>+R_S_Digital[[#This Row],[Código Riesgo]]</f>
        <v>#VALUE!</v>
      </c>
      <c r="D246" s="2"/>
      <c r="E246" s="141" t="str">
        <f>IF(C_S_Digital[[#This Row],[Responsable de ejecutar]]&lt;&gt;"",CONCATENATE(C_S_Digital[[#This Row],[Código riesgo]],"-",IF(C_S_Digital[[#This Row],[Código riesgo]]&lt;&gt;C245,1,RIGHT(E245,1)+1)),"")</f>
        <v/>
      </c>
      <c r="F246" s="147"/>
      <c r="G246" s="147"/>
      <c r="H246" s="147"/>
      <c r="I246" s="141" t="s">
        <v>105</v>
      </c>
      <c r="J246" s="141" t="s">
        <v>65</v>
      </c>
      <c r="K246" s="3"/>
      <c r="L246" s="3"/>
      <c r="M246" s="3"/>
      <c r="N246" s="3"/>
      <c r="O246" s="2"/>
      <c r="Q246" s="148"/>
      <c r="R246" s="148"/>
      <c r="S246" s="137">
        <f>_xlfn.XLOOKUP(CONCATENATE(C_S_Digital[[#This Row],[Momento de ejecución]],C_S_Digital[[#This Row],[Forma de ejecución]]),C_Atributos,C_Peso,"",0)</f>
        <v>0.25</v>
      </c>
      <c r="T246" s="141" t="str">
        <f>IFERROR(_xlfn.XLOOKUP(C_S_Digital[[#This Row],[Momento de ejecución]],C_Momento,C_Efecto,,0),"")</f>
        <v>Impacto</v>
      </c>
      <c r="U246" s="143" t="str">
        <f>IFERROR(IF(C_S_Digital[[#This Row],[Código riesgo]]&lt;&gt;C245,_xlfn.XLOOKUP(C246,R_S_Digital[Código Riesgo],#REF!,,0)*IF(C_S_Digital[[#This Row],[Efecto]]="Probabilidad",1-C_S_Digital[[#This Row],[Peso]],1),IF(C_S_Digital[[#This Row],[Efecto]]="Probabilidad",U245*(1-C_S_Digital[[#This Row],[Peso]]),U245)),"")</f>
        <v/>
      </c>
      <c r="V246" s="144" t="str">
        <f>IFERROR(IF(C_S_Digital[[#This Row],[Código riesgo]]&lt;&gt;C245,_xlfn.XLOOKUP(C_S_Digital[[#This Row],[Código riesgo]],R_S_Digital[Código Riesgo],#REF!,,0)*IF(C_S_Digital[[#This Row],[Efecto]]="Impacto",1-C_S_Digital[[#This Row],[Peso]],1),IF(C_S_Digital[[#This Row],[Efecto]]="Impacto",V245*(1-C_S_Digital[[#This Row],[Peso]]),V245)),"")</f>
        <v/>
      </c>
    </row>
    <row r="247" spans="1:22" x14ac:dyDescent="0.25">
      <c r="A247" s="3">
        <v>242</v>
      </c>
      <c r="B247" s="85">
        <f>Mapa_RSD!B225</f>
        <v>0</v>
      </c>
      <c r="C247" s="136" t="e">
        <f>+R_S_Digital[[#This Row],[Código Riesgo]]</f>
        <v>#VALUE!</v>
      </c>
      <c r="D247" s="2"/>
      <c r="E247" s="141" t="str">
        <f>IF(C_S_Digital[[#This Row],[Responsable de ejecutar]]&lt;&gt;"",CONCATENATE(C_S_Digital[[#This Row],[Código riesgo]],"-",IF(C_S_Digital[[#This Row],[Código riesgo]]&lt;&gt;C246,1,RIGHT(E246,1)+1)),"")</f>
        <v/>
      </c>
      <c r="F247" s="147"/>
      <c r="G247" s="147"/>
      <c r="H247" s="147"/>
      <c r="I247" s="141" t="s">
        <v>105</v>
      </c>
      <c r="J247" s="141" t="s">
        <v>65</v>
      </c>
      <c r="K247" s="3"/>
      <c r="L247" s="3"/>
      <c r="M247" s="3"/>
      <c r="N247" s="3"/>
      <c r="O247" s="2"/>
      <c r="Q247" s="148"/>
      <c r="R247" s="148"/>
      <c r="S247" s="137">
        <f>_xlfn.XLOOKUP(CONCATENATE(C_S_Digital[[#This Row],[Momento de ejecución]],C_S_Digital[[#This Row],[Forma de ejecución]]),C_Atributos,C_Peso,"",0)</f>
        <v>0.25</v>
      </c>
      <c r="T247" s="141" t="str">
        <f>IFERROR(_xlfn.XLOOKUP(C_S_Digital[[#This Row],[Momento de ejecución]],C_Momento,C_Efecto,,0),"")</f>
        <v>Impacto</v>
      </c>
      <c r="U247" s="143" t="str">
        <f>IFERROR(IF(C_S_Digital[[#This Row],[Código riesgo]]&lt;&gt;C246,_xlfn.XLOOKUP(C247,R_S_Digital[Código Riesgo],#REF!,,0)*IF(C_S_Digital[[#This Row],[Efecto]]="Probabilidad",1-C_S_Digital[[#This Row],[Peso]],1),IF(C_S_Digital[[#This Row],[Efecto]]="Probabilidad",U246*(1-C_S_Digital[[#This Row],[Peso]]),U246)),"")</f>
        <v/>
      </c>
      <c r="V247" s="144" t="str">
        <f>IFERROR(IF(C_S_Digital[[#This Row],[Código riesgo]]&lt;&gt;C246,_xlfn.XLOOKUP(C_S_Digital[[#This Row],[Código riesgo]],R_S_Digital[Código Riesgo],#REF!,,0)*IF(C_S_Digital[[#This Row],[Efecto]]="Impacto",1-C_S_Digital[[#This Row],[Peso]],1),IF(C_S_Digital[[#This Row],[Efecto]]="Impacto",V246*(1-C_S_Digital[[#This Row],[Peso]]),V246)),"")</f>
        <v/>
      </c>
    </row>
    <row r="248" spans="1:22" x14ac:dyDescent="0.25">
      <c r="A248" s="3">
        <v>243</v>
      </c>
      <c r="B248" s="85">
        <f>Mapa_RSD!B226</f>
        <v>0</v>
      </c>
      <c r="C248" s="136" t="e">
        <f>+R_S_Digital[[#This Row],[Código Riesgo]]</f>
        <v>#VALUE!</v>
      </c>
      <c r="D248" s="2"/>
      <c r="E248" s="141" t="str">
        <f>IF(C_S_Digital[[#This Row],[Responsable de ejecutar]]&lt;&gt;"",CONCATENATE(C_S_Digital[[#This Row],[Código riesgo]],"-",IF(C_S_Digital[[#This Row],[Código riesgo]]&lt;&gt;C247,1,RIGHT(E247,1)+1)),"")</f>
        <v/>
      </c>
      <c r="F248" s="147"/>
      <c r="G248" s="147"/>
      <c r="H248" s="147"/>
      <c r="I248" s="141" t="s">
        <v>105</v>
      </c>
      <c r="J248" s="141" t="s">
        <v>65</v>
      </c>
      <c r="K248" s="3"/>
      <c r="L248" s="3"/>
      <c r="M248" s="3"/>
      <c r="N248" s="3"/>
      <c r="O248" s="2"/>
      <c r="Q248" s="148"/>
      <c r="R248" s="148"/>
      <c r="S248" s="137">
        <f>_xlfn.XLOOKUP(CONCATENATE(C_S_Digital[[#This Row],[Momento de ejecución]],C_S_Digital[[#This Row],[Forma de ejecución]]),C_Atributos,C_Peso,"",0)</f>
        <v>0.25</v>
      </c>
      <c r="T248" s="141" t="str">
        <f>IFERROR(_xlfn.XLOOKUP(C_S_Digital[[#This Row],[Momento de ejecución]],C_Momento,C_Efecto,,0),"")</f>
        <v>Impacto</v>
      </c>
      <c r="U248" s="143" t="str">
        <f>IFERROR(IF(C_S_Digital[[#This Row],[Código riesgo]]&lt;&gt;C247,_xlfn.XLOOKUP(C248,R_S_Digital[Código Riesgo],#REF!,,0)*IF(C_S_Digital[[#This Row],[Efecto]]="Probabilidad",1-C_S_Digital[[#This Row],[Peso]],1),IF(C_S_Digital[[#This Row],[Efecto]]="Probabilidad",U247*(1-C_S_Digital[[#This Row],[Peso]]),U247)),"")</f>
        <v/>
      </c>
      <c r="V248" s="144" t="str">
        <f>IFERROR(IF(C_S_Digital[[#This Row],[Código riesgo]]&lt;&gt;C247,_xlfn.XLOOKUP(C_S_Digital[[#This Row],[Código riesgo]],R_S_Digital[Código Riesgo],#REF!,,0)*IF(C_S_Digital[[#This Row],[Efecto]]="Impacto",1-C_S_Digital[[#This Row],[Peso]],1),IF(C_S_Digital[[#This Row],[Efecto]]="Impacto",V247*(1-C_S_Digital[[#This Row],[Peso]]),V247)),"")</f>
        <v/>
      </c>
    </row>
    <row r="249" spans="1:22" x14ac:dyDescent="0.25">
      <c r="A249" s="3">
        <v>244</v>
      </c>
      <c r="B249" s="85">
        <f>Mapa_RSD!B227</f>
        <v>0</v>
      </c>
      <c r="C249" s="136" t="e">
        <f>+R_S_Digital[[#This Row],[Código Riesgo]]</f>
        <v>#VALUE!</v>
      </c>
      <c r="D249" s="2"/>
      <c r="E249" s="141" t="str">
        <f>IF(C_S_Digital[[#This Row],[Responsable de ejecutar]]&lt;&gt;"",CONCATENATE(C_S_Digital[[#This Row],[Código riesgo]],"-",IF(C_S_Digital[[#This Row],[Código riesgo]]&lt;&gt;C248,1,RIGHT(E248,1)+1)),"")</f>
        <v/>
      </c>
      <c r="F249" s="147"/>
      <c r="G249" s="147"/>
      <c r="H249" s="147"/>
      <c r="I249" s="141" t="s">
        <v>105</v>
      </c>
      <c r="J249" s="141" t="s">
        <v>65</v>
      </c>
      <c r="K249" s="3"/>
      <c r="L249" s="3"/>
      <c r="M249" s="3"/>
      <c r="N249" s="3"/>
      <c r="O249" s="2"/>
      <c r="Q249" s="148"/>
      <c r="R249" s="148"/>
      <c r="S249" s="137">
        <f>_xlfn.XLOOKUP(CONCATENATE(C_S_Digital[[#This Row],[Momento de ejecución]],C_S_Digital[[#This Row],[Forma de ejecución]]),C_Atributos,C_Peso,"",0)</f>
        <v>0.25</v>
      </c>
      <c r="T249" s="141" t="str">
        <f>IFERROR(_xlfn.XLOOKUP(C_S_Digital[[#This Row],[Momento de ejecución]],C_Momento,C_Efecto,,0),"")</f>
        <v>Impacto</v>
      </c>
      <c r="U249" s="143" t="str">
        <f>IFERROR(IF(C_S_Digital[[#This Row],[Código riesgo]]&lt;&gt;C248,_xlfn.XLOOKUP(C249,R_S_Digital[Código Riesgo],#REF!,,0)*IF(C_S_Digital[[#This Row],[Efecto]]="Probabilidad",1-C_S_Digital[[#This Row],[Peso]],1),IF(C_S_Digital[[#This Row],[Efecto]]="Probabilidad",U248*(1-C_S_Digital[[#This Row],[Peso]]),U248)),"")</f>
        <v/>
      </c>
      <c r="V249" s="144" t="str">
        <f>IFERROR(IF(C_S_Digital[[#This Row],[Código riesgo]]&lt;&gt;C248,_xlfn.XLOOKUP(C_S_Digital[[#This Row],[Código riesgo]],R_S_Digital[Código Riesgo],#REF!,,0)*IF(C_S_Digital[[#This Row],[Efecto]]="Impacto",1-C_S_Digital[[#This Row],[Peso]],1),IF(C_S_Digital[[#This Row],[Efecto]]="Impacto",V248*(1-C_S_Digital[[#This Row],[Peso]]),V248)),"")</f>
        <v/>
      </c>
    </row>
    <row r="250" spans="1:22" x14ac:dyDescent="0.25">
      <c r="A250" s="3">
        <v>245</v>
      </c>
      <c r="B250" s="85">
        <f>Mapa_RSD!B228</f>
        <v>0</v>
      </c>
      <c r="C250" s="136" t="e">
        <f>+R_S_Digital[[#This Row],[Código Riesgo]]</f>
        <v>#VALUE!</v>
      </c>
      <c r="D250" s="2"/>
      <c r="E250" s="141" t="str">
        <f>IF(C_S_Digital[[#This Row],[Responsable de ejecutar]]&lt;&gt;"",CONCATENATE(C_S_Digital[[#This Row],[Código riesgo]],"-",IF(C_S_Digital[[#This Row],[Código riesgo]]&lt;&gt;C249,1,RIGHT(E249,1)+1)),"")</f>
        <v/>
      </c>
      <c r="F250" s="147"/>
      <c r="G250" s="147"/>
      <c r="H250" s="147"/>
      <c r="I250" s="141" t="s">
        <v>105</v>
      </c>
      <c r="J250" s="141" t="s">
        <v>65</v>
      </c>
      <c r="K250" s="3"/>
      <c r="L250" s="3"/>
      <c r="M250" s="3"/>
      <c r="N250" s="3"/>
      <c r="O250" s="2"/>
      <c r="Q250" s="148"/>
      <c r="R250" s="148"/>
      <c r="S250" s="137">
        <f>_xlfn.XLOOKUP(CONCATENATE(C_S_Digital[[#This Row],[Momento de ejecución]],C_S_Digital[[#This Row],[Forma de ejecución]]),C_Atributos,C_Peso,"",0)</f>
        <v>0.25</v>
      </c>
      <c r="T250" s="141" t="str">
        <f>IFERROR(_xlfn.XLOOKUP(C_S_Digital[[#This Row],[Momento de ejecución]],C_Momento,C_Efecto,,0),"")</f>
        <v>Impacto</v>
      </c>
      <c r="U250" s="143" t="str">
        <f>IFERROR(IF(C_S_Digital[[#This Row],[Código riesgo]]&lt;&gt;C249,_xlfn.XLOOKUP(C250,R_S_Digital[Código Riesgo],#REF!,,0)*IF(C_S_Digital[[#This Row],[Efecto]]="Probabilidad",1-C_S_Digital[[#This Row],[Peso]],1),IF(C_S_Digital[[#This Row],[Efecto]]="Probabilidad",U249*(1-C_S_Digital[[#This Row],[Peso]]),U249)),"")</f>
        <v/>
      </c>
      <c r="V250" s="144" t="str">
        <f>IFERROR(IF(C_S_Digital[[#This Row],[Código riesgo]]&lt;&gt;C249,_xlfn.XLOOKUP(C_S_Digital[[#This Row],[Código riesgo]],R_S_Digital[Código Riesgo],#REF!,,0)*IF(C_S_Digital[[#This Row],[Efecto]]="Impacto",1-C_S_Digital[[#This Row],[Peso]],1),IF(C_S_Digital[[#This Row],[Efecto]]="Impacto",V249*(1-C_S_Digital[[#This Row],[Peso]]),V249)),"")</f>
        <v/>
      </c>
    </row>
    <row r="251" spans="1:22" x14ac:dyDescent="0.25">
      <c r="A251" s="3">
        <v>246</v>
      </c>
      <c r="B251" s="85">
        <f>Mapa_RSD!B229</f>
        <v>0</v>
      </c>
      <c r="C251" s="136" t="e">
        <f>+R_S_Digital[[#This Row],[Código Riesgo]]</f>
        <v>#VALUE!</v>
      </c>
      <c r="D251" s="2"/>
      <c r="E251" s="141" t="str">
        <f>IF(C_S_Digital[[#This Row],[Responsable de ejecutar]]&lt;&gt;"",CONCATENATE(C_S_Digital[[#This Row],[Código riesgo]],"-",IF(C_S_Digital[[#This Row],[Código riesgo]]&lt;&gt;C250,1,RIGHT(E250,1)+1)),"")</f>
        <v/>
      </c>
      <c r="F251" s="147"/>
      <c r="G251" s="147"/>
      <c r="H251" s="147"/>
      <c r="I251" s="141" t="s">
        <v>105</v>
      </c>
      <c r="J251" s="141" t="s">
        <v>65</v>
      </c>
      <c r="K251" s="3"/>
      <c r="L251" s="3"/>
      <c r="M251" s="3"/>
      <c r="N251" s="3"/>
      <c r="O251" s="2"/>
      <c r="Q251" s="148"/>
      <c r="R251" s="148"/>
      <c r="S251" s="137">
        <f>_xlfn.XLOOKUP(CONCATENATE(C_S_Digital[[#This Row],[Momento de ejecución]],C_S_Digital[[#This Row],[Forma de ejecución]]),C_Atributos,C_Peso,"",0)</f>
        <v>0.25</v>
      </c>
      <c r="T251" s="141" t="str">
        <f>IFERROR(_xlfn.XLOOKUP(C_S_Digital[[#This Row],[Momento de ejecución]],C_Momento,C_Efecto,,0),"")</f>
        <v>Impacto</v>
      </c>
      <c r="U251" s="143" t="str">
        <f>IFERROR(IF(C_S_Digital[[#This Row],[Código riesgo]]&lt;&gt;C250,_xlfn.XLOOKUP(C251,R_S_Digital[Código Riesgo],#REF!,,0)*IF(C_S_Digital[[#This Row],[Efecto]]="Probabilidad",1-C_S_Digital[[#This Row],[Peso]],1),IF(C_S_Digital[[#This Row],[Efecto]]="Probabilidad",U250*(1-C_S_Digital[[#This Row],[Peso]]),U250)),"")</f>
        <v/>
      </c>
      <c r="V251" s="144" t="str">
        <f>IFERROR(IF(C_S_Digital[[#This Row],[Código riesgo]]&lt;&gt;C250,_xlfn.XLOOKUP(C_S_Digital[[#This Row],[Código riesgo]],R_S_Digital[Código Riesgo],#REF!,,0)*IF(C_S_Digital[[#This Row],[Efecto]]="Impacto",1-C_S_Digital[[#This Row],[Peso]],1),IF(C_S_Digital[[#This Row],[Efecto]]="Impacto",V250*(1-C_S_Digital[[#This Row],[Peso]]),V250)),"")</f>
        <v/>
      </c>
    </row>
    <row r="252" spans="1:22" x14ac:dyDescent="0.25">
      <c r="A252" s="3">
        <v>247</v>
      </c>
      <c r="B252" s="85">
        <f>Mapa_RSD!B230</f>
        <v>0</v>
      </c>
      <c r="C252" s="136" t="e">
        <f>+R_S_Digital[[#This Row],[Código Riesgo]]</f>
        <v>#VALUE!</v>
      </c>
      <c r="D252" s="2"/>
      <c r="E252" s="141" t="str">
        <f>IF(C_S_Digital[[#This Row],[Responsable de ejecutar]]&lt;&gt;"",CONCATENATE(C_S_Digital[[#This Row],[Código riesgo]],"-",IF(C_S_Digital[[#This Row],[Código riesgo]]&lt;&gt;C251,1,RIGHT(E251,1)+1)),"")</f>
        <v/>
      </c>
      <c r="F252" s="147"/>
      <c r="G252" s="147"/>
      <c r="H252" s="147"/>
      <c r="I252" s="141" t="s">
        <v>105</v>
      </c>
      <c r="J252" s="141" t="s">
        <v>65</v>
      </c>
      <c r="K252" s="3"/>
      <c r="L252" s="3"/>
      <c r="M252" s="3"/>
      <c r="N252" s="3"/>
      <c r="O252" s="2"/>
      <c r="Q252" s="148"/>
      <c r="R252" s="148"/>
      <c r="S252" s="137">
        <f>_xlfn.XLOOKUP(CONCATENATE(C_S_Digital[[#This Row],[Momento de ejecución]],C_S_Digital[[#This Row],[Forma de ejecución]]),C_Atributos,C_Peso,"",0)</f>
        <v>0.25</v>
      </c>
      <c r="T252" s="141" t="str">
        <f>IFERROR(_xlfn.XLOOKUP(C_S_Digital[[#This Row],[Momento de ejecución]],C_Momento,C_Efecto,,0),"")</f>
        <v>Impacto</v>
      </c>
      <c r="U252" s="143" t="str">
        <f>IFERROR(IF(C_S_Digital[[#This Row],[Código riesgo]]&lt;&gt;C251,_xlfn.XLOOKUP(C252,R_S_Digital[Código Riesgo],#REF!,,0)*IF(C_S_Digital[[#This Row],[Efecto]]="Probabilidad",1-C_S_Digital[[#This Row],[Peso]],1),IF(C_S_Digital[[#This Row],[Efecto]]="Probabilidad",U251*(1-C_S_Digital[[#This Row],[Peso]]),U251)),"")</f>
        <v/>
      </c>
      <c r="V252" s="144" t="str">
        <f>IFERROR(IF(C_S_Digital[[#This Row],[Código riesgo]]&lt;&gt;C251,_xlfn.XLOOKUP(C_S_Digital[[#This Row],[Código riesgo]],R_S_Digital[Código Riesgo],#REF!,,0)*IF(C_S_Digital[[#This Row],[Efecto]]="Impacto",1-C_S_Digital[[#This Row],[Peso]],1),IF(C_S_Digital[[#This Row],[Efecto]]="Impacto",V251*(1-C_S_Digital[[#This Row],[Peso]]),V251)),"")</f>
        <v/>
      </c>
    </row>
    <row r="253" spans="1:22" x14ac:dyDescent="0.25">
      <c r="A253" s="3">
        <v>248</v>
      </c>
      <c r="B253" s="85">
        <f>Mapa_RSD!B231</f>
        <v>0</v>
      </c>
      <c r="C253" s="136" t="e">
        <f>+R_S_Digital[[#This Row],[Código Riesgo]]</f>
        <v>#VALUE!</v>
      </c>
      <c r="D253" s="2"/>
      <c r="E253" s="141" t="str">
        <f>IF(C_S_Digital[[#This Row],[Responsable de ejecutar]]&lt;&gt;"",CONCATENATE(C_S_Digital[[#This Row],[Código riesgo]],"-",IF(C_S_Digital[[#This Row],[Código riesgo]]&lt;&gt;C252,1,RIGHT(E252,1)+1)),"")</f>
        <v/>
      </c>
      <c r="F253" s="147"/>
      <c r="G253" s="147"/>
      <c r="H253" s="147"/>
      <c r="I253" s="141" t="s">
        <v>105</v>
      </c>
      <c r="J253" s="141" t="s">
        <v>65</v>
      </c>
      <c r="K253" s="3"/>
      <c r="L253" s="3"/>
      <c r="M253" s="3"/>
      <c r="N253" s="3"/>
      <c r="O253" s="2"/>
      <c r="Q253" s="148"/>
      <c r="R253" s="148"/>
      <c r="S253" s="137">
        <f>_xlfn.XLOOKUP(CONCATENATE(C_S_Digital[[#This Row],[Momento de ejecución]],C_S_Digital[[#This Row],[Forma de ejecución]]),C_Atributos,C_Peso,"",0)</f>
        <v>0.25</v>
      </c>
      <c r="T253" s="141" t="str">
        <f>IFERROR(_xlfn.XLOOKUP(C_S_Digital[[#This Row],[Momento de ejecución]],C_Momento,C_Efecto,,0),"")</f>
        <v>Impacto</v>
      </c>
      <c r="U253" s="143" t="str">
        <f>IFERROR(IF(C_S_Digital[[#This Row],[Código riesgo]]&lt;&gt;C252,_xlfn.XLOOKUP(C253,R_S_Digital[Código Riesgo],#REF!,,0)*IF(C_S_Digital[[#This Row],[Efecto]]="Probabilidad",1-C_S_Digital[[#This Row],[Peso]],1),IF(C_S_Digital[[#This Row],[Efecto]]="Probabilidad",U252*(1-C_S_Digital[[#This Row],[Peso]]),U252)),"")</f>
        <v/>
      </c>
      <c r="V253" s="144" t="str">
        <f>IFERROR(IF(C_S_Digital[[#This Row],[Código riesgo]]&lt;&gt;C252,_xlfn.XLOOKUP(C_S_Digital[[#This Row],[Código riesgo]],R_S_Digital[Código Riesgo],#REF!,,0)*IF(C_S_Digital[[#This Row],[Efecto]]="Impacto",1-C_S_Digital[[#This Row],[Peso]],1),IF(C_S_Digital[[#This Row],[Efecto]]="Impacto",V252*(1-C_S_Digital[[#This Row],[Peso]]),V252)),"")</f>
        <v/>
      </c>
    </row>
    <row r="254" spans="1:22" x14ac:dyDescent="0.25">
      <c r="A254" s="3">
        <v>249</v>
      </c>
      <c r="B254" s="85">
        <f>Mapa_RSD!B232</f>
        <v>0</v>
      </c>
      <c r="C254" s="136" t="e">
        <f>+R_S_Digital[[#This Row],[Código Riesgo]]</f>
        <v>#VALUE!</v>
      </c>
      <c r="D254" s="2"/>
      <c r="E254" s="141" t="str">
        <f>IF(C_S_Digital[[#This Row],[Responsable de ejecutar]]&lt;&gt;"",CONCATENATE(C_S_Digital[[#This Row],[Código riesgo]],"-",IF(C_S_Digital[[#This Row],[Código riesgo]]&lt;&gt;C253,1,RIGHT(E253,1)+1)),"")</f>
        <v/>
      </c>
      <c r="F254" s="147"/>
      <c r="G254" s="147"/>
      <c r="H254" s="147"/>
      <c r="I254" s="141" t="s">
        <v>105</v>
      </c>
      <c r="J254" s="141" t="s">
        <v>65</v>
      </c>
      <c r="K254" s="3"/>
      <c r="L254" s="3"/>
      <c r="M254" s="3"/>
      <c r="N254" s="3"/>
      <c r="O254" s="2"/>
      <c r="Q254" s="148"/>
      <c r="R254" s="148"/>
      <c r="S254" s="137">
        <f>_xlfn.XLOOKUP(CONCATENATE(C_S_Digital[[#This Row],[Momento de ejecución]],C_S_Digital[[#This Row],[Forma de ejecución]]),C_Atributos,C_Peso,"",0)</f>
        <v>0.25</v>
      </c>
      <c r="T254" s="141" t="str">
        <f>IFERROR(_xlfn.XLOOKUP(C_S_Digital[[#This Row],[Momento de ejecución]],C_Momento,C_Efecto,,0),"")</f>
        <v>Impacto</v>
      </c>
      <c r="U254" s="143" t="str">
        <f>IFERROR(IF(C_S_Digital[[#This Row],[Código riesgo]]&lt;&gt;C253,_xlfn.XLOOKUP(C254,R_S_Digital[Código Riesgo],#REF!,,0)*IF(C_S_Digital[[#This Row],[Efecto]]="Probabilidad",1-C_S_Digital[[#This Row],[Peso]],1),IF(C_S_Digital[[#This Row],[Efecto]]="Probabilidad",U253*(1-C_S_Digital[[#This Row],[Peso]]),U253)),"")</f>
        <v/>
      </c>
      <c r="V254" s="144" t="str">
        <f>IFERROR(IF(C_S_Digital[[#This Row],[Código riesgo]]&lt;&gt;C253,_xlfn.XLOOKUP(C_S_Digital[[#This Row],[Código riesgo]],R_S_Digital[Código Riesgo],#REF!,,0)*IF(C_S_Digital[[#This Row],[Efecto]]="Impacto",1-C_S_Digital[[#This Row],[Peso]],1),IF(C_S_Digital[[#This Row],[Efecto]]="Impacto",V253*(1-C_S_Digital[[#This Row],[Peso]]),V253)),"")</f>
        <v/>
      </c>
    </row>
    <row r="255" spans="1:22" x14ac:dyDescent="0.25">
      <c r="A255" s="3">
        <v>250</v>
      </c>
      <c r="B255" s="85">
        <f>Mapa_RSD!B233</f>
        <v>0</v>
      </c>
      <c r="C255" s="136" t="e">
        <f>+R_S_Digital[[#This Row],[Código Riesgo]]</f>
        <v>#VALUE!</v>
      </c>
      <c r="D255" s="2"/>
      <c r="E255" s="141" t="str">
        <f>IF(C_S_Digital[[#This Row],[Responsable de ejecutar]]&lt;&gt;"",CONCATENATE(C_S_Digital[[#This Row],[Código riesgo]],"-",IF(C_S_Digital[[#This Row],[Código riesgo]]&lt;&gt;C254,1,RIGHT(E254,1)+1)),"")</f>
        <v/>
      </c>
      <c r="F255" s="147"/>
      <c r="G255" s="147"/>
      <c r="H255" s="147"/>
      <c r="I255" s="141" t="s">
        <v>105</v>
      </c>
      <c r="J255" s="141" t="s">
        <v>65</v>
      </c>
      <c r="K255" s="3"/>
      <c r="L255" s="3"/>
      <c r="M255" s="3"/>
      <c r="N255" s="3"/>
      <c r="O255" s="2"/>
      <c r="Q255" s="148"/>
      <c r="R255" s="148"/>
      <c r="S255" s="137">
        <f>_xlfn.XLOOKUP(CONCATENATE(C_S_Digital[[#This Row],[Momento de ejecución]],C_S_Digital[[#This Row],[Forma de ejecución]]),C_Atributos,C_Peso,"",0)</f>
        <v>0.25</v>
      </c>
      <c r="T255" s="141" t="str">
        <f>IFERROR(_xlfn.XLOOKUP(C_S_Digital[[#This Row],[Momento de ejecución]],C_Momento,C_Efecto,,0),"")</f>
        <v>Impacto</v>
      </c>
      <c r="U255" s="143" t="str">
        <f>IFERROR(IF(C_S_Digital[[#This Row],[Código riesgo]]&lt;&gt;C254,_xlfn.XLOOKUP(C255,R_S_Digital[Código Riesgo],#REF!,,0)*IF(C_S_Digital[[#This Row],[Efecto]]="Probabilidad",1-C_S_Digital[[#This Row],[Peso]],1),IF(C_S_Digital[[#This Row],[Efecto]]="Probabilidad",U254*(1-C_S_Digital[[#This Row],[Peso]]),U254)),"")</f>
        <v/>
      </c>
      <c r="V255" s="144" t="str">
        <f>IFERROR(IF(C_S_Digital[[#This Row],[Código riesgo]]&lt;&gt;C254,_xlfn.XLOOKUP(C_S_Digital[[#This Row],[Código riesgo]],R_S_Digital[Código Riesgo],#REF!,,0)*IF(C_S_Digital[[#This Row],[Efecto]]="Impacto",1-C_S_Digital[[#This Row],[Peso]],1),IF(C_S_Digital[[#This Row],[Efecto]]="Impacto",V254*(1-C_S_Digital[[#This Row],[Peso]]),V254)),"")</f>
        <v/>
      </c>
    </row>
    <row r="256" spans="1:22" x14ac:dyDescent="0.25">
      <c r="A256" s="3">
        <v>251</v>
      </c>
      <c r="B256" s="85">
        <f>Mapa_RSD!B234</f>
        <v>0</v>
      </c>
      <c r="C256" s="136" t="e">
        <f>+R_S_Digital[[#This Row],[Código Riesgo]]</f>
        <v>#VALUE!</v>
      </c>
      <c r="D256" s="2"/>
      <c r="E256" s="141" t="str">
        <f>IF(C_S_Digital[[#This Row],[Responsable de ejecutar]]&lt;&gt;"",CONCATENATE(C_S_Digital[[#This Row],[Código riesgo]],"-",IF(C_S_Digital[[#This Row],[Código riesgo]]&lt;&gt;C255,1,RIGHT(E255,1)+1)),"")</f>
        <v/>
      </c>
      <c r="F256" s="147"/>
      <c r="G256" s="147"/>
      <c r="H256" s="147"/>
      <c r="I256" s="141" t="s">
        <v>105</v>
      </c>
      <c r="J256" s="141" t="s">
        <v>65</v>
      </c>
      <c r="K256" s="3"/>
      <c r="L256" s="3"/>
      <c r="M256" s="3"/>
      <c r="N256" s="3"/>
      <c r="O256" s="2"/>
      <c r="Q256" s="148"/>
      <c r="R256" s="148"/>
      <c r="S256" s="137">
        <f>_xlfn.XLOOKUP(CONCATENATE(C_S_Digital[[#This Row],[Momento de ejecución]],C_S_Digital[[#This Row],[Forma de ejecución]]),C_Atributos,C_Peso,"",0)</f>
        <v>0.25</v>
      </c>
      <c r="T256" s="141" t="str">
        <f>IFERROR(_xlfn.XLOOKUP(C_S_Digital[[#This Row],[Momento de ejecución]],C_Momento,C_Efecto,,0),"")</f>
        <v>Impacto</v>
      </c>
      <c r="U256" s="143" t="str">
        <f>IFERROR(IF(C_S_Digital[[#This Row],[Código riesgo]]&lt;&gt;C255,_xlfn.XLOOKUP(C256,R_S_Digital[Código Riesgo],#REF!,,0)*IF(C_S_Digital[[#This Row],[Efecto]]="Probabilidad",1-C_S_Digital[[#This Row],[Peso]],1),IF(C_S_Digital[[#This Row],[Efecto]]="Probabilidad",U255*(1-C_S_Digital[[#This Row],[Peso]]),U255)),"")</f>
        <v/>
      </c>
      <c r="V256" s="144" t="str">
        <f>IFERROR(IF(C_S_Digital[[#This Row],[Código riesgo]]&lt;&gt;C255,_xlfn.XLOOKUP(C_S_Digital[[#This Row],[Código riesgo]],R_S_Digital[Código Riesgo],#REF!,,0)*IF(C_S_Digital[[#This Row],[Efecto]]="Impacto",1-C_S_Digital[[#This Row],[Peso]],1),IF(C_S_Digital[[#This Row],[Efecto]]="Impacto",V255*(1-C_S_Digital[[#This Row],[Peso]]),V255)),"")</f>
        <v/>
      </c>
    </row>
    <row r="257" spans="1:22" x14ac:dyDescent="0.25">
      <c r="A257" s="3">
        <v>252</v>
      </c>
      <c r="B257" s="85">
        <f>Mapa_RSD!B235</f>
        <v>0</v>
      </c>
      <c r="C257" s="136" t="e">
        <f>+R_S_Digital[[#This Row],[Código Riesgo]]</f>
        <v>#VALUE!</v>
      </c>
      <c r="D257" s="2"/>
      <c r="E257" s="141" t="str">
        <f>IF(C_S_Digital[[#This Row],[Responsable de ejecutar]]&lt;&gt;"",CONCATENATE(C_S_Digital[[#This Row],[Código riesgo]],"-",IF(C_S_Digital[[#This Row],[Código riesgo]]&lt;&gt;C256,1,RIGHT(E256,1)+1)),"")</f>
        <v/>
      </c>
      <c r="F257" s="147"/>
      <c r="G257" s="147"/>
      <c r="H257" s="147"/>
      <c r="I257" s="141" t="s">
        <v>105</v>
      </c>
      <c r="J257" s="141" t="s">
        <v>65</v>
      </c>
      <c r="K257" s="3"/>
      <c r="L257" s="3"/>
      <c r="M257" s="3"/>
      <c r="N257" s="3"/>
      <c r="O257" s="2"/>
      <c r="Q257" s="148"/>
      <c r="R257" s="148"/>
      <c r="S257" s="137">
        <f>_xlfn.XLOOKUP(CONCATENATE(C_S_Digital[[#This Row],[Momento de ejecución]],C_S_Digital[[#This Row],[Forma de ejecución]]),C_Atributos,C_Peso,"",0)</f>
        <v>0.25</v>
      </c>
      <c r="T257" s="141" t="str">
        <f>IFERROR(_xlfn.XLOOKUP(C_S_Digital[[#This Row],[Momento de ejecución]],C_Momento,C_Efecto,,0),"")</f>
        <v>Impacto</v>
      </c>
      <c r="U257" s="143" t="str">
        <f>IFERROR(IF(C_S_Digital[[#This Row],[Código riesgo]]&lt;&gt;C256,_xlfn.XLOOKUP(C257,R_S_Digital[Código Riesgo],#REF!,,0)*IF(C_S_Digital[[#This Row],[Efecto]]="Probabilidad",1-C_S_Digital[[#This Row],[Peso]],1),IF(C_S_Digital[[#This Row],[Efecto]]="Probabilidad",U256*(1-C_S_Digital[[#This Row],[Peso]]),U256)),"")</f>
        <v/>
      </c>
      <c r="V257" s="144" t="str">
        <f>IFERROR(IF(C_S_Digital[[#This Row],[Código riesgo]]&lt;&gt;C256,_xlfn.XLOOKUP(C_S_Digital[[#This Row],[Código riesgo]],R_S_Digital[Código Riesgo],#REF!,,0)*IF(C_S_Digital[[#This Row],[Efecto]]="Impacto",1-C_S_Digital[[#This Row],[Peso]],1),IF(C_S_Digital[[#This Row],[Efecto]]="Impacto",V256*(1-C_S_Digital[[#This Row],[Peso]]),V256)),"")</f>
        <v/>
      </c>
    </row>
    <row r="258" spans="1:22" x14ac:dyDescent="0.25">
      <c r="A258" s="3">
        <v>253</v>
      </c>
      <c r="B258" s="85">
        <f>Mapa_RSD!B236</f>
        <v>0</v>
      </c>
      <c r="C258" s="136" t="e">
        <f>+R_S_Digital[[#This Row],[Código Riesgo]]</f>
        <v>#VALUE!</v>
      </c>
      <c r="D258" s="2"/>
      <c r="E258" s="141" t="str">
        <f>IF(C_S_Digital[[#This Row],[Responsable de ejecutar]]&lt;&gt;"",CONCATENATE(C_S_Digital[[#This Row],[Código riesgo]],"-",IF(C_S_Digital[[#This Row],[Código riesgo]]&lt;&gt;C257,1,RIGHT(E257,1)+1)),"")</f>
        <v/>
      </c>
      <c r="F258" s="147"/>
      <c r="G258" s="147"/>
      <c r="H258" s="147"/>
      <c r="I258" s="141" t="s">
        <v>105</v>
      </c>
      <c r="J258" s="141" t="s">
        <v>65</v>
      </c>
      <c r="K258" s="3"/>
      <c r="L258" s="3"/>
      <c r="M258" s="3"/>
      <c r="N258" s="3"/>
      <c r="O258" s="2"/>
      <c r="Q258" s="148"/>
      <c r="R258" s="148"/>
      <c r="S258" s="137">
        <f>_xlfn.XLOOKUP(CONCATENATE(C_S_Digital[[#This Row],[Momento de ejecución]],C_S_Digital[[#This Row],[Forma de ejecución]]),C_Atributos,C_Peso,"",0)</f>
        <v>0.25</v>
      </c>
      <c r="T258" s="141" t="str">
        <f>IFERROR(_xlfn.XLOOKUP(C_S_Digital[[#This Row],[Momento de ejecución]],C_Momento,C_Efecto,,0),"")</f>
        <v>Impacto</v>
      </c>
      <c r="U258" s="143" t="str">
        <f>IFERROR(IF(C_S_Digital[[#This Row],[Código riesgo]]&lt;&gt;C257,_xlfn.XLOOKUP(C258,R_S_Digital[Código Riesgo],#REF!,,0)*IF(C_S_Digital[[#This Row],[Efecto]]="Probabilidad",1-C_S_Digital[[#This Row],[Peso]],1),IF(C_S_Digital[[#This Row],[Efecto]]="Probabilidad",U257*(1-C_S_Digital[[#This Row],[Peso]]),U257)),"")</f>
        <v/>
      </c>
      <c r="V258" s="144" t="str">
        <f>IFERROR(IF(C_S_Digital[[#This Row],[Código riesgo]]&lt;&gt;C257,_xlfn.XLOOKUP(C_S_Digital[[#This Row],[Código riesgo]],R_S_Digital[Código Riesgo],#REF!,,0)*IF(C_S_Digital[[#This Row],[Efecto]]="Impacto",1-C_S_Digital[[#This Row],[Peso]],1),IF(C_S_Digital[[#This Row],[Efecto]]="Impacto",V257*(1-C_S_Digital[[#This Row],[Peso]]),V257)),"")</f>
        <v/>
      </c>
    </row>
    <row r="259" spans="1:22" x14ac:dyDescent="0.25">
      <c r="A259" s="3">
        <v>254</v>
      </c>
      <c r="B259" s="85">
        <f>Mapa_RSD!B237</f>
        <v>0</v>
      </c>
      <c r="C259" s="136" t="e">
        <f>+R_S_Digital[[#This Row],[Código Riesgo]]</f>
        <v>#VALUE!</v>
      </c>
      <c r="D259" s="2"/>
      <c r="E259" s="141" t="str">
        <f>IF(C_S_Digital[[#This Row],[Responsable de ejecutar]]&lt;&gt;"",CONCATENATE(C_S_Digital[[#This Row],[Código riesgo]],"-",IF(C_S_Digital[[#This Row],[Código riesgo]]&lt;&gt;C258,1,RIGHT(E258,1)+1)),"")</f>
        <v/>
      </c>
      <c r="F259" s="147"/>
      <c r="G259" s="147"/>
      <c r="H259" s="147"/>
      <c r="I259" s="141" t="s">
        <v>105</v>
      </c>
      <c r="J259" s="141" t="s">
        <v>65</v>
      </c>
      <c r="K259" s="3"/>
      <c r="L259" s="3"/>
      <c r="M259" s="3"/>
      <c r="N259" s="3"/>
      <c r="O259" s="2"/>
      <c r="Q259" s="148"/>
      <c r="R259" s="148"/>
      <c r="S259" s="137">
        <f>_xlfn.XLOOKUP(CONCATENATE(C_S_Digital[[#This Row],[Momento de ejecución]],C_S_Digital[[#This Row],[Forma de ejecución]]),C_Atributos,C_Peso,"",0)</f>
        <v>0.25</v>
      </c>
      <c r="T259" s="141" t="str">
        <f>IFERROR(_xlfn.XLOOKUP(C_S_Digital[[#This Row],[Momento de ejecución]],C_Momento,C_Efecto,,0),"")</f>
        <v>Impacto</v>
      </c>
      <c r="U259" s="143" t="str">
        <f>IFERROR(IF(C_S_Digital[[#This Row],[Código riesgo]]&lt;&gt;C258,_xlfn.XLOOKUP(C259,R_S_Digital[Código Riesgo],#REF!,,0)*IF(C_S_Digital[[#This Row],[Efecto]]="Probabilidad",1-C_S_Digital[[#This Row],[Peso]],1),IF(C_S_Digital[[#This Row],[Efecto]]="Probabilidad",U258*(1-C_S_Digital[[#This Row],[Peso]]),U258)),"")</f>
        <v/>
      </c>
      <c r="V259" s="144" t="str">
        <f>IFERROR(IF(C_S_Digital[[#This Row],[Código riesgo]]&lt;&gt;C258,_xlfn.XLOOKUP(C_S_Digital[[#This Row],[Código riesgo]],R_S_Digital[Código Riesgo],#REF!,,0)*IF(C_S_Digital[[#This Row],[Efecto]]="Impacto",1-C_S_Digital[[#This Row],[Peso]],1),IF(C_S_Digital[[#This Row],[Efecto]]="Impacto",V258*(1-C_S_Digital[[#This Row],[Peso]]),V258)),"")</f>
        <v/>
      </c>
    </row>
    <row r="260" spans="1:22" x14ac:dyDescent="0.25">
      <c r="A260" s="3">
        <v>255</v>
      </c>
      <c r="B260" s="85">
        <f>Mapa_RSD!B238</f>
        <v>0</v>
      </c>
      <c r="C260" s="136" t="e">
        <f>+R_S_Digital[[#This Row],[Código Riesgo]]</f>
        <v>#VALUE!</v>
      </c>
      <c r="D260" s="2"/>
      <c r="E260" s="141" t="str">
        <f>IF(C_S_Digital[[#This Row],[Responsable de ejecutar]]&lt;&gt;"",CONCATENATE(C_S_Digital[[#This Row],[Código riesgo]],"-",IF(C_S_Digital[[#This Row],[Código riesgo]]&lt;&gt;C259,1,RIGHT(E259,1)+1)),"")</f>
        <v/>
      </c>
      <c r="F260" s="147"/>
      <c r="G260" s="147"/>
      <c r="H260" s="147"/>
      <c r="I260" s="141" t="s">
        <v>105</v>
      </c>
      <c r="J260" s="141" t="s">
        <v>65</v>
      </c>
      <c r="K260" s="3"/>
      <c r="L260" s="3"/>
      <c r="M260" s="3"/>
      <c r="N260" s="3"/>
      <c r="O260" s="2"/>
      <c r="Q260" s="148"/>
      <c r="R260" s="148"/>
      <c r="S260" s="137">
        <f>_xlfn.XLOOKUP(CONCATENATE(C_S_Digital[[#This Row],[Momento de ejecución]],C_S_Digital[[#This Row],[Forma de ejecución]]),C_Atributos,C_Peso,"",0)</f>
        <v>0.25</v>
      </c>
      <c r="T260" s="141" t="str">
        <f>IFERROR(_xlfn.XLOOKUP(C_S_Digital[[#This Row],[Momento de ejecución]],C_Momento,C_Efecto,,0),"")</f>
        <v>Impacto</v>
      </c>
      <c r="U260" s="143" t="str">
        <f>IFERROR(IF(C_S_Digital[[#This Row],[Código riesgo]]&lt;&gt;C259,_xlfn.XLOOKUP(C260,R_S_Digital[Código Riesgo],#REF!,,0)*IF(C_S_Digital[[#This Row],[Efecto]]="Probabilidad",1-C_S_Digital[[#This Row],[Peso]],1),IF(C_S_Digital[[#This Row],[Efecto]]="Probabilidad",U259*(1-C_S_Digital[[#This Row],[Peso]]),U259)),"")</f>
        <v/>
      </c>
      <c r="V260" s="144" t="str">
        <f>IFERROR(IF(C_S_Digital[[#This Row],[Código riesgo]]&lt;&gt;C259,_xlfn.XLOOKUP(C_S_Digital[[#This Row],[Código riesgo]],R_S_Digital[Código Riesgo],#REF!,,0)*IF(C_S_Digital[[#This Row],[Efecto]]="Impacto",1-C_S_Digital[[#This Row],[Peso]],1),IF(C_S_Digital[[#This Row],[Efecto]]="Impacto",V259*(1-C_S_Digital[[#This Row],[Peso]]),V259)),"")</f>
        <v/>
      </c>
    </row>
    <row r="261" spans="1:22" x14ac:dyDescent="0.25">
      <c r="A261" s="3">
        <v>256</v>
      </c>
      <c r="B261" s="85">
        <f>Mapa_RSD!B239</f>
        <v>0</v>
      </c>
      <c r="C261" s="136" t="e">
        <f>+R_S_Digital[[#This Row],[Código Riesgo]]</f>
        <v>#VALUE!</v>
      </c>
      <c r="D261" s="2"/>
      <c r="E261" s="141" t="str">
        <f>IF(C_S_Digital[[#This Row],[Responsable de ejecutar]]&lt;&gt;"",CONCATENATE(C_S_Digital[[#This Row],[Código riesgo]],"-",IF(C_S_Digital[[#This Row],[Código riesgo]]&lt;&gt;C260,1,RIGHT(E260,1)+1)),"")</f>
        <v/>
      </c>
      <c r="F261" s="147"/>
      <c r="G261" s="147"/>
      <c r="H261" s="147"/>
      <c r="I261" s="141" t="s">
        <v>105</v>
      </c>
      <c r="J261" s="141" t="s">
        <v>65</v>
      </c>
      <c r="K261" s="3"/>
      <c r="L261" s="3"/>
      <c r="M261" s="3"/>
      <c r="N261" s="3"/>
      <c r="O261" s="2"/>
      <c r="Q261" s="148"/>
      <c r="R261" s="148"/>
      <c r="S261" s="137">
        <f>_xlfn.XLOOKUP(CONCATENATE(C_S_Digital[[#This Row],[Momento de ejecución]],C_S_Digital[[#This Row],[Forma de ejecución]]),C_Atributos,C_Peso,"",0)</f>
        <v>0.25</v>
      </c>
      <c r="T261" s="141" t="str">
        <f>IFERROR(_xlfn.XLOOKUP(C_S_Digital[[#This Row],[Momento de ejecución]],C_Momento,C_Efecto,,0),"")</f>
        <v>Impacto</v>
      </c>
      <c r="U261" s="143" t="str">
        <f>IFERROR(IF(C_S_Digital[[#This Row],[Código riesgo]]&lt;&gt;C260,_xlfn.XLOOKUP(C261,R_S_Digital[Código Riesgo],#REF!,,0)*IF(C_S_Digital[[#This Row],[Efecto]]="Probabilidad",1-C_S_Digital[[#This Row],[Peso]],1),IF(C_S_Digital[[#This Row],[Efecto]]="Probabilidad",U260*(1-C_S_Digital[[#This Row],[Peso]]),U260)),"")</f>
        <v/>
      </c>
      <c r="V261" s="144" t="str">
        <f>IFERROR(IF(C_S_Digital[[#This Row],[Código riesgo]]&lt;&gt;C260,_xlfn.XLOOKUP(C_S_Digital[[#This Row],[Código riesgo]],R_S_Digital[Código Riesgo],#REF!,,0)*IF(C_S_Digital[[#This Row],[Efecto]]="Impacto",1-C_S_Digital[[#This Row],[Peso]],1),IF(C_S_Digital[[#This Row],[Efecto]]="Impacto",V260*(1-C_S_Digital[[#This Row],[Peso]]),V260)),"")</f>
        <v/>
      </c>
    </row>
    <row r="262" spans="1:22" x14ac:dyDescent="0.25">
      <c r="A262" s="3">
        <v>257</v>
      </c>
      <c r="B262" s="85">
        <f>Mapa_RSD!B240</f>
        <v>0</v>
      </c>
      <c r="C262" s="136" t="e">
        <f>+R_S_Digital[[#This Row],[Código Riesgo]]</f>
        <v>#VALUE!</v>
      </c>
      <c r="D262" s="2"/>
      <c r="E262" s="141" t="str">
        <f>IF(C_S_Digital[[#This Row],[Responsable de ejecutar]]&lt;&gt;"",CONCATENATE(C_S_Digital[[#This Row],[Código riesgo]],"-",IF(C_S_Digital[[#This Row],[Código riesgo]]&lt;&gt;C261,1,RIGHT(E261,1)+1)),"")</f>
        <v/>
      </c>
      <c r="F262" s="147"/>
      <c r="G262" s="147"/>
      <c r="H262" s="147"/>
      <c r="I262" s="141" t="s">
        <v>105</v>
      </c>
      <c r="J262" s="141" t="s">
        <v>65</v>
      </c>
      <c r="K262" s="3"/>
      <c r="L262" s="3"/>
      <c r="M262" s="3"/>
      <c r="N262" s="3"/>
      <c r="O262" s="2"/>
      <c r="Q262" s="148"/>
      <c r="R262" s="148"/>
      <c r="S262" s="137">
        <f>_xlfn.XLOOKUP(CONCATENATE(C_S_Digital[[#This Row],[Momento de ejecución]],C_S_Digital[[#This Row],[Forma de ejecución]]),C_Atributos,C_Peso,"",0)</f>
        <v>0.25</v>
      </c>
      <c r="T262" s="141" t="str">
        <f>IFERROR(_xlfn.XLOOKUP(C_S_Digital[[#This Row],[Momento de ejecución]],C_Momento,C_Efecto,,0),"")</f>
        <v>Impacto</v>
      </c>
      <c r="U262" s="143" t="str">
        <f>IFERROR(IF(C_S_Digital[[#This Row],[Código riesgo]]&lt;&gt;C261,_xlfn.XLOOKUP(C262,R_S_Digital[Código Riesgo],#REF!,,0)*IF(C_S_Digital[[#This Row],[Efecto]]="Probabilidad",1-C_S_Digital[[#This Row],[Peso]],1),IF(C_S_Digital[[#This Row],[Efecto]]="Probabilidad",U261*(1-C_S_Digital[[#This Row],[Peso]]),U261)),"")</f>
        <v/>
      </c>
      <c r="V262" s="144" t="str">
        <f>IFERROR(IF(C_S_Digital[[#This Row],[Código riesgo]]&lt;&gt;C261,_xlfn.XLOOKUP(C_S_Digital[[#This Row],[Código riesgo]],R_S_Digital[Código Riesgo],#REF!,,0)*IF(C_S_Digital[[#This Row],[Efecto]]="Impacto",1-C_S_Digital[[#This Row],[Peso]],1),IF(C_S_Digital[[#This Row],[Efecto]]="Impacto",V261*(1-C_S_Digital[[#This Row],[Peso]]),V261)),"")</f>
        <v/>
      </c>
    </row>
    <row r="263" spans="1:22" x14ac:dyDescent="0.25">
      <c r="A263" s="3">
        <v>258</v>
      </c>
      <c r="B263" s="85">
        <f>Mapa_RSD!B241</f>
        <v>0</v>
      </c>
      <c r="C263" s="136" t="e">
        <f>+R_S_Digital[[#This Row],[Código Riesgo]]</f>
        <v>#VALUE!</v>
      </c>
      <c r="D263" s="2"/>
      <c r="E263" s="141" t="str">
        <f>IF(C_S_Digital[[#This Row],[Responsable de ejecutar]]&lt;&gt;"",CONCATENATE(C_S_Digital[[#This Row],[Código riesgo]],"-",IF(C_S_Digital[[#This Row],[Código riesgo]]&lt;&gt;C262,1,RIGHT(E262,1)+1)),"")</f>
        <v/>
      </c>
      <c r="F263" s="147"/>
      <c r="G263" s="147"/>
      <c r="H263" s="147"/>
      <c r="I263" s="141" t="s">
        <v>105</v>
      </c>
      <c r="J263" s="141" t="s">
        <v>65</v>
      </c>
      <c r="K263" s="3"/>
      <c r="L263" s="3"/>
      <c r="M263" s="3"/>
      <c r="N263" s="3"/>
      <c r="O263" s="2"/>
      <c r="Q263" s="148"/>
      <c r="R263" s="148"/>
      <c r="S263" s="137">
        <f>_xlfn.XLOOKUP(CONCATENATE(C_S_Digital[[#This Row],[Momento de ejecución]],C_S_Digital[[#This Row],[Forma de ejecución]]),C_Atributos,C_Peso,"",0)</f>
        <v>0.25</v>
      </c>
      <c r="T263" s="141" t="str">
        <f>IFERROR(_xlfn.XLOOKUP(C_S_Digital[[#This Row],[Momento de ejecución]],C_Momento,C_Efecto,,0),"")</f>
        <v>Impacto</v>
      </c>
      <c r="U263" s="143" t="str">
        <f>IFERROR(IF(C_S_Digital[[#This Row],[Código riesgo]]&lt;&gt;C262,_xlfn.XLOOKUP(C263,R_S_Digital[Código Riesgo],#REF!,,0)*IF(C_S_Digital[[#This Row],[Efecto]]="Probabilidad",1-C_S_Digital[[#This Row],[Peso]],1),IF(C_S_Digital[[#This Row],[Efecto]]="Probabilidad",U262*(1-C_S_Digital[[#This Row],[Peso]]),U262)),"")</f>
        <v/>
      </c>
      <c r="V263" s="144" t="str">
        <f>IFERROR(IF(C_S_Digital[[#This Row],[Código riesgo]]&lt;&gt;C262,_xlfn.XLOOKUP(C_S_Digital[[#This Row],[Código riesgo]],R_S_Digital[Código Riesgo],#REF!,,0)*IF(C_S_Digital[[#This Row],[Efecto]]="Impacto",1-C_S_Digital[[#This Row],[Peso]],1),IF(C_S_Digital[[#This Row],[Efecto]]="Impacto",V262*(1-C_S_Digital[[#This Row],[Peso]]),V262)),"")</f>
        <v/>
      </c>
    </row>
    <row r="264" spans="1:22" x14ac:dyDescent="0.25">
      <c r="A264" s="3">
        <v>259</v>
      </c>
      <c r="B264" s="85">
        <f>Mapa_RSD!B242</f>
        <v>0</v>
      </c>
      <c r="C264" s="136" t="e">
        <f>+R_S_Digital[[#This Row],[Código Riesgo]]</f>
        <v>#VALUE!</v>
      </c>
      <c r="D264" s="2"/>
      <c r="E264" s="141" t="str">
        <f>IF(C_S_Digital[[#This Row],[Responsable de ejecutar]]&lt;&gt;"",CONCATENATE(C_S_Digital[[#This Row],[Código riesgo]],"-",IF(C_S_Digital[[#This Row],[Código riesgo]]&lt;&gt;C263,1,RIGHT(E263,1)+1)),"")</f>
        <v/>
      </c>
      <c r="F264" s="147"/>
      <c r="G264" s="147"/>
      <c r="H264" s="147"/>
      <c r="I264" s="141" t="s">
        <v>105</v>
      </c>
      <c r="J264" s="141" t="s">
        <v>65</v>
      </c>
      <c r="K264" s="3"/>
      <c r="L264" s="3"/>
      <c r="M264" s="3"/>
      <c r="N264" s="3"/>
      <c r="O264" s="2"/>
      <c r="Q264" s="148"/>
      <c r="R264" s="148"/>
      <c r="S264" s="137">
        <f>_xlfn.XLOOKUP(CONCATENATE(C_S_Digital[[#This Row],[Momento de ejecución]],C_S_Digital[[#This Row],[Forma de ejecución]]),C_Atributos,C_Peso,"",0)</f>
        <v>0.25</v>
      </c>
      <c r="T264" s="141" t="str">
        <f>IFERROR(_xlfn.XLOOKUP(C_S_Digital[[#This Row],[Momento de ejecución]],C_Momento,C_Efecto,,0),"")</f>
        <v>Impacto</v>
      </c>
      <c r="U264" s="143" t="str">
        <f>IFERROR(IF(C_S_Digital[[#This Row],[Código riesgo]]&lt;&gt;C263,_xlfn.XLOOKUP(C264,R_S_Digital[Código Riesgo],#REF!,,0)*IF(C_S_Digital[[#This Row],[Efecto]]="Probabilidad",1-C_S_Digital[[#This Row],[Peso]],1),IF(C_S_Digital[[#This Row],[Efecto]]="Probabilidad",U263*(1-C_S_Digital[[#This Row],[Peso]]),U263)),"")</f>
        <v/>
      </c>
      <c r="V264" s="144" t="str">
        <f>IFERROR(IF(C_S_Digital[[#This Row],[Código riesgo]]&lt;&gt;C263,_xlfn.XLOOKUP(C_S_Digital[[#This Row],[Código riesgo]],R_S_Digital[Código Riesgo],#REF!,,0)*IF(C_S_Digital[[#This Row],[Efecto]]="Impacto",1-C_S_Digital[[#This Row],[Peso]],1),IF(C_S_Digital[[#This Row],[Efecto]]="Impacto",V263*(1-C_S_Digital[[#This Row],[Peso]]),V263)),"")</f>
        <v/>
      </c>
    </row>
    <row r="265" spans="1:22" x14ac:dyDescent="0.25">
      <c r="A265" s="3">
        <v>260</v>
      </c>
      <c r="B265" s="85">
        <f>Mapa_RSD!B243</f>
        <v>0</v>
      </c>
      <c r="C265" s="136" t="e">
        <f>+R_S_Digital[[#This Row],[Código Riesgo]]</f>
        <v>#VALUE!</v>
      </c>
      <c r="D265" s="2"/>
      <c r="E265" s="141" t="str">
        <f>IF(C_S_Digital[[#This Row],[Responsable de ejecutar]]&lt;&gt;"",CONCATENATE(C_S_Digital[[#This Row],[Código riesgo]],"-",IF(C_S_Digital[[#This Row],[Código riesgo]]&lt;&gt;C264,1,RIGHT(E264,1)+1)),"")</f>
        <v/>
      </c>
      <c r="F265" s="147"/>
      <c r="G265" s="147"/>
      <c r="H265" s="147"/>
      <c r="I265" s="141" t="s">
        <v>105</v>
      </c>
      <c r="J265" s="141" t="s">
        <v>65</v>
      </c>
      <c r="K265" s="3"/>
      <c r="L265" s="3"/>
      <c r="M265" s="3"/>
      <c r="N265" s="3"/>
      <c r="O265" s="2"/>
      <c r="Q265" s="148"/>
      <c r="R265" s="148"/>
      <c r="S265" s="137">
        <f>_xlfn.XLOOKUP(CONCATENATE(C_S_Digital[[#This Row],[Momento de ejecución]],C_S_Digital[[#This Row],[Forma de ejecución]]),C_Atributos,C_Peso,"",0)</f>
        <v>0.25</v>
      </c>
      <c r="T265" s="141" t="str">
        <f>IFERROR(_xlfn.XLOOKUP(C_S_Digital[[#This Row],[Momento de ejecución]],C_Momento,C_Efecto,,0),"")</f>
        <v>Impacto</v>
      </c>
      <c r="U265" s="143" t="str">
        <f>IFERROR(IF(C_S_Digital[[#This Row],[Código riesgo]]&lt;&gt;C264,_xlfn.XLOOKUP(C265,R_S_Digital[Código Riesgo],#REF!,,0)*IF(C_S_Digital[[#This Row],[Efecto]]="Probabilidad",1-C_S_Digital[[#This Row],[Peso]],1),IF(C_S_Digital[[#This Row],[Efecto]]="Probabilidad",U264*(1-C_S_Digital[[#This Row],[Peso]]),U264)),"")</f>
        <v/>
      </c>
      <c r="V265" s="144" t="str">
        <f>IFERROR(IF(C_S_Digital[[#This Row],[Código riesgo]]&lt;&gt;C264,_xlfn.XLOOKUP(C_S_Digital[[#This Row],[Código riesgo]],R_S_Digital[Código Riesgo],#REF!,,0)*IF(C_S_Digital[[#This Row],[Efecto]]="Impacto",1-C_S_Digital[[#This Row],[Peso]],1),IF(C_S_Digital[[#This Row],[Efecto]]="Impacto",V264*(1-C_S_Digital[[#This Row],[Peso]]),V264)),"")</f>
        <v/>
      </c>
    </row>
    <row r="266" spans="1:22" x14ac:dyDescent="0.25">
      <c r="A266" s="3">
        <v>261</v>
      </c>
      <c r="B266" s="85">
        <f>Mapa_RSD!B244</f>
        <v>0</v>
      </c>
      <c r="C266" s="136" t="e">
        <f>+R_S_Digital[[#This Row],[Código Riesgo]]</f>
        <v>#VALUE!</v>
      </c>
      <c r="D266" s="2"/>
      <c r="E266" s="141" t="str">
        <f>IF(C_S_Digital[[#This Row],[Responsable de ejecutar]]&lt;&gt;"",CONCATENATE(C_S_Digital[[#This Row],[Código riesgo]],"-",IF(C_S_Digital[[#This Row],[Código riesgo]]&lt;&gt;C265,1,RIGHT(E265,1)+1)),"")</f>
        <v/>
      </c>
      <c r="F266" s="147"/>
      <c r="G266" s="147"/>
      <c r="H266" s="147"/>
      <c r="I266" s="141" t="s">
        <v>105</v>
      </c>
      <c r="J266" s="141" t="s">
        <v>65</v>
      </c>
      <c r="K266" s="3"/>
      <c r="L266" s="3"/>
      <c r="M266" s="3"/>
      <c r="N266" s="3"/>
      <c r="O266" s="2"/>
      <c r="Q266" s="148"/>
      <c r="R266" s="148"/>
      <c r="S266" s="137">
        <f>_xlfn.XLOOKUP(CONCATENATE(C_S_Digital[[#This Row],[Momento de ejecución]],C_S_Digital[[#This Row],[Forma de ejecución]]),C_Atributos,C_Peso,"",0)</f>
        <v>0.25</v>
      </c>
      <c r="T266" s="141" t="str">
        <f>IFERROR(_xlfn.XLOOKUP(C_S_Digital[[#This Row],[Momento de ejecución]],C_Momento,C_Efecto,,0),"")</f>
        <v>Impacto</v>
      </c>
      <c r="U266" s="143" t="str">
        <f>IFERROR(IF(C_S_Digital[[#This Row],[Código riesgo]]&lt;&gt;C265,_xlfn.XLOOKUP(C266,R_S_Digital[Código Riesgo],#REF!,,0)*IF(C_S_Digital[[#This Row],[Efecto]]="Probabilidad",1-C_S_Digital[[#This Row],[Peso]],1),IF(C_S_Digital[[#This Row],[Efecto]]="Probabilidad",U265*(1-C_S_Digital[[#This Row],[Peso]]),U265)),"")</f>
        <v/>
      </c>
      <c r="V266" s="144" t="str">
        <f>IFERROR(IF(C_S_Digital[[#This Row],[Código riesgo]]&lt;&gt;C265,_xlfn.XLOOKUP(C_S_Digital[[#This Row],[Código riesgo]],R_S_Digital[Código Riesgo],#REF!,,0)*IF(C_S_Digital[[#This Row],[Efecto]]="Impacto",1-C_S_Digital[[#This Row],[Peso]],1),IF(C_S_Digital[[#This Row],[Efecto]]="Impacto",V265*(1-C_S_Digital[[#This Row],[Peso]]),V265)),"")</f>
        <v/>
      </c>
    </row>
    <row r="267" spans="1:22" x14ac:dyDescent="0.25">
      <c r="A267" s="3">
        <v>262</v>
      </c>
      <c r="B267" s="85">
        <f>Mapa_RSD!B245</f>
        <v>0</v>
      </c>
      <c r="C267" s="136" t="e">
        <f>+R_S_Digital[[#This Row],[Código Riesgo]]</f>
        <v>#VALUE!</v>
      </c>
      <c r="D267" s="2"/>
      <c r="E267" s="141" t="str">
        <f>IF(C_S_Digital[[#This Row],[Responsable de ejecutar]]&lt;&gt;"",CONCATENATE(C_S_Digital[[#This Row],[Código riesgo]],"-",IF(C_S_Digital[[#This Row],[Código riesgo]]&lt;&gt;C266,1,RIGHT(E266,1)+1)),"")</f>
        <v/>
      </c>
      <c r="F267" s="147"/>
      <c r="G267" s="147"/>
      <c r="H267" s="147"/>
      <c r="I267" s="141" t="s">
        <v>105</v>
      </c>
      <c r="J267" s="141" t="s">
        <v>65</v>
      </c>
      <c r="K267" s="3"/>
      <c r="L267" s="3"/>
      <c r="M267" s="3"/>
      <c r="N267" s="3"/>
      <c r="O267" s="2"/>
      <c r="Q267" s="148"/>
      <c r="R267" s="148"/>
      <c r="S267" s="137">
        <f>_xlfn.XLOOKUP(CONCATENATE(C_S_Digital[[#This Row],[Momento de ejecución]],C_S_Digital[[#This Row],[Forma de ejecución]]),C_Atributos,C_Peso,"",0)</f>
        <v>0.25</v>
      </c>
      <c r="T267" s="141" t="str">
        <f>IFERROR(_xlfn.XLOOKUP(C_S_Digital[[#This Row],[Momento de ejecución]],C_Momento,C_Efecto,,0),"")</f>
        <v>Impacto</v>
      </c>
      <c r="U267" s="143" t="str">
        <f>IFERROR(IF(C_S_Digital[[#This Row],[Código riesgo]]&lt;&gt;C266,_xlfn.XLOOKUP(C267,R_S_Digital[Código Riesgo],#REF!,,0)*IF(C_S_Digital[[#This Row],[Efecto]]="Probabilidad",1-C_S_Digital[[#This Row],[Peso]],1),IF(C_S_Digital[[#This Row],[Efecto]]="Probabilidad",U266*(1-C_S_Digital[[#This Row],[Peso]]),U266)),"")</f>
        <v/>
      </c>
      <c r="V267" s="144" t="str">
        <f>IFERROR(IF(C_S_Digital[[#This Row],[Código riesgo]]&lt;&gt;C266,_xlfn.XLOOKUP(C_S_Digital[[#This Row],[Código riesgo]],R_S_Digital[Código Riesgo],#REF!,,0)*IF(C_S_Digital[[#This Row],[Efecto]]="Impacto",1-C_S_Digital[[#This Row],[Peso]],1),IF(C_S_Digital[[#This Row],[Efecto]]="Impacto",V266*(1-C_S_Digital[[#This Row],[Peso]]),V266)),"")</f>
        <v/>
      </c>
    </row>
    <row r="268" spans="1:22" x14ac:dyDescent="0.25">
      <c r="A268" s="3">
        <v>263</v>
      </c>
      <c r="B268" s="85">
        <f>Mapa_RSD!B246</f>
        <v>0</v>
      </c>
      <c r="C268" s="136" t="e">
        <f>+R_S_Digital[[#This Row],[Código Riesgo]]</f>
        <v>#VALUE!</v>
      </c>
      <c r="D268" s="2"/>
      <c r="E268" s="141" t="str">
        <f>IF(C_S_Digital[[#This Row],[Responsable de ejecutar]]&lt;&gt;"",CONCATENATE(C_S_Digital[[#This Row],[Código riesgo]],"-",IF(C_S_Digital[[#This Row],[Código riesgo]]&lt;&gt;C267,1,RIGHT(E267,1)+1)),"")</f>
        <v/>
      </c>
      <c r="F268" s="147"/>
      <c r="G268" s="147"/>
      <c r="H268" s="147"/>
      <c r="I268" s="141" t="s">
        <v>105</v>
      </c>
      <c r="J268" s="141" t="s">
        <v>65</v>
      </c>
      <c r="K268" s="3"/>
      <c r="L268" s="3"/>
      <c r="M268" s="3"/>
      <c r="N268" s="3"/>
      <c r="O268" s="2"/>
      <c r="Q268" s="148"/>
      <c r="R268" s="148"/>
      <c r="S268" s="137">
        <f>_xlfn.XLOOKUP(CONCATENATE(C_S_Digital[[#This Row],[Momento de ejecución]],C_S_Digital[[#This Row],[Forma de ejecución]]),C_Atributos,C_Peso,"",0)</f>
        <v>0.25</v>
      </c>
      <c r="T268" s="141" t="str">
        <f>IFERROR(_xlfn.XLOOKUP(C_S_Digital[[#This Row],[Momento de ejecución]],C_Momento,C_Efecto,,0),"")</f>
        <v>Impacto</v>
      </c>
      <c r="U268" s="143" t="str">
        <f>IFERROR(IF(C_S_Digital[[#This Row],[Código riesgo]]&lt;&gt;C267,_xlfn.XLOOKUP(C268,R_S_Digital[Código Riesgo],#REF!,,0)*IF(C_S_Digital[[#This Row],[Efecto]]="Probabilidad",1-C_S_Digital[[#This Row],[Peso]],1),IF(C_S_Digital[[#This Row],[Efecto]]="Probabilidad",U267*(1-C_S_Digital[[#This Row],[Peso]]),U267)),"")</f>
        <v/>
      </c>
      <c r="V268" s="144" t="str">
        <f>IFERROR(IF(C_S_Digital[[#This Row],[Código riesgo]]&lt;&gt;C267,_xlfn.XLOOKUP(C_S_Digital[[#This Row],[Código riesgo]],R_S_Digital[Código Riesgo],#REF!,,0)*IF(C_S_Digital[[#This Row],[Efecto]]="Impacto",1-C_S_Digital[[#This Row],[Peso]],1),IF(C_S_Digital[[#This Row],[Efecto]]="Impacto",V267*(1-C_S_Digital[[#This Row],[Peso]]),V267)),"")</f>
        <v/>
      </c>
    </row>
    <row r="269" spans="1:22" x14ac:dyDescent="0.25">
      <c r="A269" s="3">
        <v>264</v>
      </c>
      <c r="B269" s="85">
        <f>Mapa_RSD!B247</f>
        <v>0</v>
      </c>
      <c r="C269" s="136" t="e">
        <f>+R_S_Digital[[#This Row],[Código Riesgo]]</f>
        <v>#VALUE!</v>
      </c>
      <c r="D269" s="2"/>
      <c r="E269" s="141" t="str">
        <f>IF(C_S_Digital[[#This Row],[Responsable de ejecutar]]&lt;&gt;"",CONCATENATE(C_S_Digital[[#This Row],[Código riesgo]],"-",IF(C_S_Digital[[#This Row],[Código riesgo]]&lt;&gt;C268,1,RIGHT(E268,1)+1)),"")</f>
        <v/>
      </c>
      <c r="F269" s="147"/>
      <c r="G269" s="147"/>
      <c r="H269" s="147"/>
      <c r="I269" s="141" t="s">
        <v>105</v>
      </c>
      <c r="J269" s="141" t="s">
        <v>65</v>
      </c>
      <c r="K269" s="3"/>
      <c r="L269" s="3"/>
      <c r="M269" s="3"/>
      <c r="N269" s="3"/>
      <c r="O269" s="2"/>
      <c r="Q269" s="148"/>
      <c r="R269" s="148"/>
      <c r="S269" s="137">
        <f>_xlfn.XLOOKUP(CONCATENATE(C_S_Digital[[#This Row],[Momento de ejecución]],C_S_Digital[[#This Row],[Forma de ejecución]]),C_Atributos,C_Peso,"",0)</f>
        <v>0.25</v>
      </c>
      <c r="T269" s="141" t="str">
        <f>IFERROR(_xlfn.XLOOKUP(C_S_Digital[[#This Row],[Momento de ejecución]],C_Momento,C_Efecto,,0),"")</f>
        <v>Impacto</v>
      </c>
      <c r="U269" s="143" t="str">
        <f>IFERROR(IF(C_S_Digital[[#This Row],[Código riesgo]]&lt;&gt;C268,_xlfn.XLOOKUP(C269,R_S_Digital[Código Riesgo],#REF!,,0)*IF(C_S_Digital[[#This Row],[Efecto]]="Probabilidad",1-C_S_Digital[[#This Row],[Peso]],1),IF(C_S_Digital[[#This Row],[Efecto]]="Probabilidad",U268*(1-C_S_Digital[[#This Row],[Peso]]),U268)),"")</f>
        <v/>
      </c>
      <c r="V269" s="144" t="str">
        <f>IFERROR(IF(C_S_Digital[[#This Row],[Código riesgo]]&lt;&gt;C268,_xlfn.XLOOKUP(C_S_Digital[[#This Row],[Código riesgo]],R_S_Digital[Código Riesgo],#REF!,,0)*IF(C_S_Digital[[#This Row],[Efecto]]="Impacto",1-C_S_Digital[[#This Row],[Peso]],1),IF(C_S_Digital[[#This Row],[Efecto]]="Impacto",V268*(1-C_S_Digital[[#This Row],[Peso]]),V268)),"")</f>
        <v/>
      </c>
    </row>
    <row r="270" spans="1:22" x14ac:dyDescent="0.25">
      <c r="A270" s="3">
        <v>265</v>
      </c>
      <c r="B270" s="85">
        <f>Mapa_RSD!B248</f>
        <v>0</v>
      </c>
      <c r="C270" s="136" t="e">
        <f>+R_S_Digital[[#This Row],[Código Riesgo]]</f>
        <v>#VALUE!</v>
      </c>
      <c r="D270" s="2"/>
      <c r="E270" s="141" t="str">
        <f>IF(C_S_Digital[[#This Row],[Responsable de ejecutar]]&lt;&gt;"",CONCATENATE(C_S_Digital[[#This Row],[Código riesgo]],"-",IF(C_S_Digital[[#This Row],[Código riesgo]]&lt;&gt;C269,1,RIGHT(E269,1)+1)),"")</f>
        <v/>
      </c>
      <c r="F270" s="147"/>
      <c r="G270" s="147"/>
      <c r="H270" s="147"/>
      <c r="I270" s="141" t="s">
        <v>105</v>
      </c>
      <c r="J270" s="141" t="s">
        <v>65</v>
      </c>
      <c r="K270" s="3"/>
      <c r="L270" s="3"/>
      <c r="M270" s="3"/>
      <c r="N270" s="3"/>
      <c r="O270" s="2"/>
      <c r="Q270" s="148"/>
      <c r="R270" s="148"/>
      <c r="S270" s="137">
        <f>_xlfn.XLOOKUP(CONCATENATE(C_S_Digital[[#This Row],[Momento de ejecución]],C_S_Digital[[#This Row],[Forma de ejecución]]),C_Atributos,C_Peso,"",0)</f>
        <v>0.25</v>
      </c>
      <c r="T270" s="141" t="str">
        <f>IFERROR(_xlfn.XLOOKUP(C_S_Digital[[#This Row],[Momento de ejecución]],C_Momento,C_Efecto,,0),"")</f>
        <v>Impacto</v>
      </c>
      <c r="U270" s="143" t="str">
        <f>IFERROR(IF(C_S_Digital[[#This Row],[Código riesgo]]&lt;&gt;C269,_xlfn.XLOOKUP(C270,R_S_Digital[Código Riesgo],#REF!,,0)*IF(C_S_Digital[[#This Row],[Efecto]]="Probabilidad",1-C_S_Digital[[#This Row],[Peso]],1),IF(C_S_Digital[[#This Row],[Efecto]]="Probabilidad",U269*(1-C_S_Digital[[#This Row],[Peso]]),U269)),"")</f>
        <v/>
      </c>
      <c r="V270" s="144" t="str">
        <f>IFERROR(IF(C_S_Digital[[#This Row],[Código riesgo]]&lt;&gt;C269,_xlfn.XLOOKUP(C_S_Digital[[#This Row],[Código riesgo]],R_S_Digital[Código Riesgo],#REF!,,0)*IF(C_S_Digital[[#This Row],[Efecto]]="Impacto",1-C_S_Digital[[#This Row],[Peso]],1),IF(C_S_Digital[[#This Row],[Efecto]]="Impacto",V269*(1-C_S_Digital[[#This Row],[Peso]]),V269)),"")</f>
        <v/>
      </c>
    </row>
    <row r="271" spans="1:22" x14ac:dyDescent="0.25">
      <c r="A271" s="3">
        <v>266</v>
      </c>
      <c r="B271" s="85">
        <f>Mapa_RSD!B249</f>
        <v>0</v>
      </c>
      <c r="C271" s="136" t="e">
        <f>+R_S_Digital[[#This Row],[Código Riesgo]]</f>
        <v>#VALUE!</v>
      </c>
      <c r="D271" s="2"/>
      <c r="E271" s="141" t="str">
        <f>IF(C_S_Digital[[#This Row],[Responsable de ejecutar]]&lt;&gt;"",CONCATENATE(C_S_Digital[[#This Row],[Código riesgo]],"-",IF(C_S_Digital[[#This Row],[Código riesgo]]&lt;&gt;C270,1,RIGHT(E270,1)+1)),"")</f>
        <v/>
      </c>
      <c r="F271" s="147"/>
      <c r="G271" s="147"/>
      <c r="H271" s="147"/>
      <c r="I271" s="141" t="s">
        <v>105</v>
      </c>
      <c r="J271" s="141" t="s">
        <v>65</v>
      </c>
      <c r="K271" s="3"/>
      <c r="L271" s="3"/>
      <c r="M271" s="3"/>
      <c r="N271" s="3"/>
      <c r="O271" s="2"/>
      <c r="Q271" s="148"/>
      <c r="R271" s="148"/>
      <c r="S271" s="137">
        <f>_xlfn.XLOOKUP(CONCATENATE(C_S_Digital[[#This Row],[Momento de ejecución]],C_S_Digital[[#This Row],[Forma de ejecución]]),C_Atributos,C_Peso,"",0)</f>
        <v>0.25</v>
      </c>
      <c r="T271" s="141" t="str">
        <f>IFERROR(_xlfn.XLOOKUP(C_S_Digital[[#This Row],[Momento de ejecución]],C_Momento,C_Efecto,,0),"")</f>
        <v>Impacto</v>
      </c>
      <c r="U271" s="143" t="str">
        <f>IFERROR(IF(C_S_Digital[[#This Row],[Código riesgo]]&lt;&gt;C270,_xlfn.XLOOKUP(C271,R_S_Digital[Código Riesgo],#REF!,,0)*IF(C_S_Digital[[#This Row],[Efecto]]="Probabilidad",1-C_S_Digital[[#This Row],[Peso]],1),IF(C_S_Digital[[#This Row],[Efecto]]="Probabilidad",U270*(1-C_S_Digital[[#This Row],[Peso]]),U270)),"")</f>
        <v/>
      </c>
      <c r="V271" s="144" t="str">
        <f>IFERROR(IF(C_S_Digital[[#This Row],[Código riesgo]]&lt;&gt;C270,_xlfn.XLOOKUP(C_S_Digital[[#This Row],[Código riesgo]],R_S_Digital[Código Riesgo],#REF!,,0)*IF(C_S_Digital[[#This Row],[Efecto]]="Impacto",1-C_S_Digital[[#This Row],[Peso]],1),IF(C_S_Digital[[#This Row],[Efecto]]="Impacto",V270*(1-C_S_Digital[[#This Row],[Peso]]),V270)),"")</f>
        <v/>
      </c>
    </row>
    <row r="272" spans="1:22" x14ac:dyDescent="0.25">
      <c r="A272" s="3">
        <v>267</v>
      </c>
      <c r="B272" s="85">
        <f>Mapa_RSD!B250</f>
        <v>0</v>
      </c>
      <c r="C272" s="136" t="e">
        <f>+R_S_Digital[[#This Row],[Código Riesgo]]</f>
        <v>#VALUE!</v>
      </c>
      <c r="D272" s="2"/>
      <c r="E272" s="141" t="str">
        <f>IF(C_S_Digital[[#This Row],[Responsable de ejecutar]]&lt;&gt;"",CONCATENATE(C_S_Digital[[#This Row],[Código riesgo]],"-",IF(C_S_Digital[[#This Row],[Código riesgo]]&lt;&gt;C271,1,RIGHT(E271,1)+1)),"")</f>
        <v/>
      </c>
      <c r="F272" s="147"/>
      <c r="G272" s="147"/>
      <c r="H272" s="147"/>
      <c r="I272" s="141" t="s">
        <v>105</v>
      </c>
      <c r="J272" s="141" t="s">
        <v>65</v>
      </c>
      <c r="K272" s="3"/>
      <c r="L272" s="3"/>
      <c r="M272" s="3"/>
      <c r="N272" s="3"/>
      <c r="O272" s="2"/>
      <c r="Q272" s="148"/>
      <c r="R272" s="148"/>
      <c r="S272" s="137">
        <f>_xlfn.XLOOKUP(CONCATENATE(C_S_Digital[[#This Row],[Momento de ejecución]],C_S_Digital[[#This Row],[Forma de ejecución]]),C_Atributos,C_Peso,"",0)</f>
        <v>0.25</v>
      </c>
      <c r="T272" s="141" t="str">
        <f>IFERROR(_xlfn.XLOOKUP(C_S_Digital[[#This Row],[Momento de ejecución]],C_Momento,C_Efecto,,0),"")</f>
        <v>Impacto</v>
      </c>
      <c r="U272" s="143" t="str">
        <f>IFERROR(IF(C_S_Digital[[#This Row],[Código riesgo]]&lt;&gt;C271,_xlfn.XLOOKUP(C272,R_S_Digital[Código Riesgo],#REF!,,0)*IF(C_S_Digital[[#This Row],[Efecto]]="Probabilidad",1-C_S_Digital[[#This Row],[Peso]],1),IF(C_S_Digital[[#This Row],[Efecto]]="Probabilidad",U271*(1-C_S_Digital[[#This Row],[Peso]]),U271)),"")</f>
        <v/>
      </c>
      <c r="V272" s="144" t="str">
        <f>IFERROR(IF(C_S_Digital[[#This Row],[Código riesgo]]&lt;&gt;C271,_xlfn.XLOOKUP(C_S_Digital[[#This Row],[Código riesgo]],R_S_Digital[Código Riesgo],#REF!,,0)*IF(C_S_Digital[[#This Row],[Efecto]]="Impacto",1-C_S_Digital[[#This Row],[Peso]],1),IF(C_S_Digital[[#This Row],[Efecto]]="Impacto",V271*(1-C_S_Digital[[#This Row],[Peso]]),V271)),"")</f>
        <v/>
      </c>
    </row>
    <row r="273" spans="1:22" x14ac:dyDescent="0.25">
      <c r="A273" s="3">
        <v>268</v>
      </c>
      <c r="B273" s="85">
        <f>Mapa_RSD!B251</f>
        <v>0</v>
      </c>
      <c r="C273" s="136" t="e">
        <f>+R_S_Digital[[#This Row],[Código Riesgo]]</f>
        <v>#VALUE!</v>
      </c>
      <c r="D273" s="2"/>
      <c r="E273" s="141" t="str">
        <f>IF(C_S_Digital[[#This Row],[Responsable de ejecutar]]&lt;&gt;"",CONCATENATE(C_S_Digital[[#This Row],[Código riesgo]],"-",IF(C_S_Digital[[#This Row],[Código riesgo]]&lt;&gt;C272,1,RIGHT(E272,1)+1)),"")</f>
        <v/>
      </c>
      <c r="F273" s="147"/>
      <c r="G273" s="147"/>
      <c r="H273" s="147"/>
      <c r="I273" s="141" t="s">
        <v>105</v>
      </c>
      <c r="J273" s="141" t="s">
        <v>65</v>
      </c>
      <c r="K273" s="3"/>
      <c r="L273" s="3"/>
      <c r="M273" s="3"/>
      <c r="N273" s="3"/>
      <c r="O273" s="2"/>
      <c r="Q273" s="148"/>
      <c r="R273" s="148"/>
      <c r="S273" s="137">
        <f>_xlfn.XLOOKUP(CONCATENATE(C_S_Digital[[#This Row],[Momento de ejecución]],C_S_Digital[[#This Row],[Forma de ejecución]]),C_Atributos,C_Peso,"",0)</f>
        <v>0.25</v>
      </c>
      <c r="T273" s="141" t="str">
        <f>IFERROR(_xlfn.XLOOKUP(C_S_Digital[[#This Row],[Momento de ejecución]],C_Momento,C_Efecto,,0),"")</f>
        <v>Impacto</v>
      </c>
      <c r="U273" s="143" t="str">
        <f>IFERROR(IF(C_S_Digital[[#This Row],[Código riesgo]]&lt;&gt;C272,_xlfn.XLOOKUP(C273,R_S_Digital[Código Riesgo],#REF!,,0)*IF(C_S_Digital[[#This Row],[Efecto]]="Probabilidad",1-C_S_Digital[[#This Row],[Peso]],1),IF(C_S_Digital[[#This Row],[Efecto]]="Probabilidad",U272*(1-C_S_Digital[[#This Row],[Peso]]),U272)),"")</f>
        <v/>
      </c>
      <c r="V273" s="144" t="str">
        <f>IFERROR(IF(C_S_Digital[[#This Row],[Código riesgo]]&lt;&gt;C272,_xlfn.XLOOKUP(C_S_Digital[[#This Row],[Código riesgo]],R_S_Digital[Código Riesgo],#REF!,,0)*IF(C_S_Digital[[#This Row],[Efecto]]="Impacto",1-C_S_Digital[[#This Row],[Peso]],1),IF(C_S_Digital[[#This Row],[Efecto]]="Impacto",V272*(1-C_S_Digital[[#This Row],[Peso]]),V272)),"")</f>
        <v/>
      </c>
    </row>
    <row r="274" spans="1:22" x14ac:dyDescent="0.25">
      <c r="A274" s="3">
        <v>269</v>
      </c>
      <c r="B274" s="85">
        <f>Mapa_RSD!B252</f>
        <v>0</v>
      </c>
      <c r="C274" s="136" t="e">
        <f>+R_S_Digital[[#This Row],[Código Riesgo]]</f>
        <v>#VALUE!</v>
      </c>
      <c r="D274" s="2"/>
      <c r="E274" s="141" t="str">
        <f>IF(C_S_Digital[[#This Row],[Responsable de ejecutar]]&lt;&gt;"",CONCATENATE(C_S_Digital[[#This Row],[Código riesgo]],"-",IF(C_S_Digital[[#This Row],[Código riesgo]]&lt;&gt;C273,1,RIGHT(E273,1)+1)),"")</f>
        <v/>
      </c>
      <c r="F274" s="147"/>
      <c r="G274" s="147"/>
      <c r="H274" s="147"/>
      <c r="I274" s="141" t="s">
        <v>105</v>
      </c>
      <c r="J274" s="141" t="s">
        <v>65</v>
      </c>
      <c r="K274" s="3"/>
      <c r="L274" s="3"/>
      <c r="M274" s="3"/>
      <c r="N274" s="3"/>
      <c r="O274" s="2"/>
      <c r="Q274" s="148"/>
      <c r="R274" s="148"/>
      <c r="S274" s="137">
        <f>_xlfn.XLOOKUP(CONCATENATE(C_S_Digital[[#This Row],[Momento de ejecución]],C_S_Digital[[#This Row],[Forma de ejecución]]),C_Atributos,C_Peso,"",0)</f>
        <v>0.25</v>
      </c>
      <c r="T274" s="141" t="str">
        <f>IFERROR(_xlfn.XLOOKUP(C_S_Digital[[#This Row],[Momento de ejecución]],C_Momento,C_Efecto,,0),"")</f>
        <v>Impacto</v>
      </c>
      <c r="U274" s="143" t="str">
        <f>IFERROR(IF(C_S_Digital[[#This Row],[Código riesgo]]&lt;&gt;C273,_xlfn.XLOOKUP(C274,R_S_Digital[Código Riesgo],#REF!,,0)*IF(C_S_Digital[[#This Row],[Efecto]]="Probabilidad",1-C_S_Digital[[#This Row],[Peso]],1),IF(C_S_Digital[[#This Row],[Efecto]]="Probabilidad",U273*(1-C_S_Digital[[#This Row],[Peso]]),U273)),"")</f>
        <v/>
      </c>
      <c r="V274" s="144" t="str">
        <f>IFERROR(IF(C_S_Digital[[#This Row],[Código riesgo]]&lt;&gt;C273,_xlfn.XLOOKUP(C_S_Digital[[#This Row],[Código riesgo]],R_S_Digital[Código Riesgo],#REF!,,0)*IF(C_S_Digital[[#This Row],[Efecto]]="Impacto",1-C_S_Digital[[#This Row],[Peso]],1),IF(C_S_Digital[[#This Row],[Efecto]]="Impacto",V273*(1-C_S_Digital[[#This Row],[Peso]]),V273)),"")</f>
        <v/>
      </c>
    </row>
    <row r="275" spans="1:22" x14ac:dyDescent="0.25">
      <c r="A275" s="3">
        <v>270</v>
      </c>
      <c r="B275" s="85">
        <f>Mapa_RSD!B253</f>
        <v>0</v>
      </c>
      <c r="C275" s="136" t="e">
        <f>+R_S_Digital[[#This Row],[Código Riesgo]]</f>
        <v>#VALUE!</v>
      </c>
      <c r="D275" s="2"/>
      <c r="E275" s="141" t="str">
        <f>IF(C_S_Digital[[#This Row],[Responsable de ejecutar]]&lt;&gt;"",CONCATENATE(C_S_Digital[[#This Row],[Código riesgo]],"-",IF(C_S_Digital[[#This Row],[Código riesgo]]&lt;&gt;C274,1,RIGHT(E274,1)+1)),"")</f>
        <v/>
      </c>
      <c r="F275" s="147"/>
      <c r="G275" s="147"/>
      <c r="H275" s="147"/>
      <c r="I275" s="141" t="s">
        <v>105</v>
      </c>
      <c r="J275" s="141" t="s">
        <v>65</v>
      </c>
      <c r="K275" s="3"/>
      <c r="L275" s="3"/>
      <c r="M275" s="3"/>
      <c r="N275" s="3"/>
      <c r="O275" s="2"/>
      <c r="Q275" s="148"/>
      <c r="R275" s="148"/>
      <c r="S275" s="137">
        <f>_xlfn.XLOOKUP(CONCATENATE(C_S_Digital[[#This Row],[Momento de ejecución]],C_S_Digital[[#This Row],[Forma de ejecución]]),C_Atributos,C_Peso,"",0)</f>
        <v>0.25</v>
      </c>
      <c r="T275" s="141" t="str">
        <f>IFERROR(_xlfn.XLOOKUP(C_S_Digital[[#This Row],[Momento de ejecución]],C_Momento,C_Efecto,,0),"")</f>
        <v>Impacto</v>
      </c>
      <c r="U275" s="143" t="str">
        <f>IFERROR(IF(C_S_Digital[[#This Row],[Código riesgo]]&lt;&gt;C274,_xlfn.XLOOKUP(C275,R_S_Digital[Código Riesgo],#REF!,,0)*IF(C_S_Digital[[#This Row],[Efecto]]="Probabilidad",1-C_S_Digital[[#This Row],[Peso]],1),IF(C_S_Digital[[#This Row],[Efecto]]="Probabilidad",U274*(1-C_S_Digital[[#This Row],[Peso]]),U274)),"")</f>
        <v/>
      </c>
      <c r="V275" s="144" t="str">
        <f>IFERROR(IF(C_S_Digital[[#This Row],[Código riesgo]]&lt;&gt;C274,_xlfn.XLOOKUP(C_S_Digital[[#This Row],[Código riesgo]],R_S_Digital[Código Riesgo],#REF!,,0)*IF(C_S_Digital[[#This Row],[Efecto]]="Impacto",1-C_S_Digital[[#This Row],[Peso]],1),IF(C_S_Digital[[#This Row],[Efecto]]="Impacto",V274*(1-C_S_Digital[[#This Row],[Peso]]),V274)),"")</f>
        <v/>
      </c>
    </row>
    <row r="276" spans="1:22" x14ac:dyDescent="0.25">
      <c r="A276" s="3">
        <v>271</v>
      </c>
      <c r="B276" s="85">
        <f>Mapa_RSD!B254</f>
        <v>0</v>
      </c>
      <c r="C276" s="136" t="e">
        <f>+R_S_Digital[[#This Row],[Código Riesgo]]</f>
        <v>#VALUE!</v>
      </c>
      <c r="D276" s="2"/>
      <c r="E276" s="141" t="str">
        <f>IF(C_S_Digital[[#This Row],[Responsable de ejecutar]]&lt;&gt;"",CONCATENATE(C_S_Digital[[#This Row],[Código riesgo]],"-",IF(C_S_Digital[[#This Row],[Código riesgo]]&lt;&gt;C275,1,RIGHT(E275,1)+1)),"")</f>
        <v/>
      </c>
      <c r="F276" s="147"/>
      <c r="G276" s="147"/>
      <c r="H276" s="147"/>
      <c r="I276" s="141" t="s">
        <v>105</v>
      </c>
      <c r="J276" s="141" t="s">
        <v>65</v>
      </c>
      <c r="K276" s="3"/>
      <c r="L276" s="3"/>
      <c r="M276" s="3"/>
      <c r="N276" s="3"/>
      <c r="O276" s="2"/>
      <c r="Q276" s="148"/>
      <c r="R276" s="148"/>
      <c r="S276" s="137">
        <f>_xlfn.XLOOKUP(CONCATENATE(C_S_Digital[[#This Row],[Momento de ejecución]],C_S_Digital[[#This Row],[Forma de ejecución]]),C_Atributos,C_Peso,"",0)</f>
        <v>0.25</v>
      </c>
      <c r="T276" s="141" t="str">
        <f>IFERROR(_xlfn.XLOOKUP(C_S_Digital[[#This Row],[Momento de ejecución]],C_Momento,C_Efecto,,0),"")</f>
        <v>Impacto</v>
      </c>
      <c r="U276" s="143" t="str">
        <f>IFERROR(IF(C_S_Digital[[#This Row],[Código riesgo]]&lt;&gt;C275,_xlfn.XLOOKUP(C276,R_S_Digital[Código Riesgo],#REF!,,0)*IF(C_S_Digital[[#This Row],[Efecto]]="Probabilidad",1-C_S_Digital[[#This Row],[Peso]],1),IF(C_S_Digital[[#This Row],[Efecto]]="Probabilidad",U275*(1-C_S_Digital[[#This Row],[Peso]]),U275)),"")</f>
        <v/>
      </c>
      <c r="V276" s="144" t="str">
        <f>IFERROR(IF(C_S_Digital[[#This Row],[Código riesgo]]&lt;&gt;C275,_xlfn.XLOOKUP(C_S_Digital[[#This Row],[Código riesgo]],R_S_Digital[Código Riesgo],#REF!,,0)*IF(C_S_Digital[[#This Row],[Efecto]]="Impacto",1-C_S_Digital[[#This Row],[Peso]],1),IF(C_S_Digital[[#This Row],[Efecto]]="Impacto",V275*(1-C_S_Digital[[#This Row],[Peso]]),V275)),"")</f>
        <v/>
      </c>
    </row>
    <row r="277" spans="1:22" x14ac:dyDescent="0.25">
      <c r="A277" s="3">
        <v>272</v>
      </c>
      <c r="B277" s="85">
        <f>Mapa_RSD!B255</f>
        <v>0</v>
      </c>
      <c r="C277" s="136" t="e">
        <f>+R_S_Digital[[#This Row],[Código Riesgo]]</f>
        <v>#VALUE!</v>
      </c>
      <c r="D277" s="2"/>
      <c r="E277" s="141" t="str">
        <f>IF(C_S_Digital[[#This Row],[Responsable de ejecutar]]&lt;&gt;"",CONCATENATE(C_S_Digital[[#This Row],[Código riesgo]],"-",IF(C_S_Digital[[#This Row],[Código riesgo]]&lt;&gt;C276,1,RIGHT(E276,1)+1)),"")</f>
        <v/>
      </c>
      <c r="F277" s="147"/>
      <c r="G277" s="147"/>
      <c r="H277" s="147"/>
      <c r="I277" s="141" t="s">
        <v>105</v>
      </c>
      <c r="J277" s="141" t="s">
        <v>65</v>
      </c>
      <c r="K277" s="3"/>
      <c r="L277" s="3"/>
      <c r="M277" s="3"/>
      <c r="N277" s="3"/>
      <c r="O277" s="2"/>
      <c r="Q277" s="148"/>
      <c r="R277" s="148"/>
      <c r="S277" s="137">
        <f>_xlfn.XLOOKUP(CONCATENATE(C_S_Digital[[#This Row],[Momento de ejecución]],C_S_Digital[[#This Row],[Forma de ejecución]]),C_Atributos,C_Peso,"",0)</f>
        <v>0.25</v>
      </c>
      <c r="T277" s="141" t="str">
        <f>IFERROR(_xlfn.XLOOKUP(C_S_Digital[[#This Row],[Momento de ejecución]],C_Momento,C_Efecto,,0),"")</f>
        <v>Impacto</v>
      </c>
      <c r="U277" s="143" t="str">
        <f>IFERROR(IF(C_S_Digital[[#This Row],[Código riesgo]]&lt;&gt;C276,_xlfn.XLOOKUP(C277,R_S_Digital[Código Riesgo],#REF!,,0)*IF(C_S_Digital[[#This Row],[Efecto]]="Probabilidad",1-C_S_Digital[[#This Row],[Peso]],1),IF(C_S_Digital[[#This Row],[Efecto]]="Probabilidad",U276*(1-C_S_Digital[[#This Row],[Peso]]),U276)),"")</f>
        <v/>
      </c>
      <c r="V277" s="144" t="str">
        <f>IFERROR(IF(C_S_Digital[[#This Row],[Código riesgo]]&lt;&gt;C276,_xlfn.XLOOKUP(C_S_Digital[[#This Row],[Código riesgo]],R_S_Digital[Código Riesgo],#REF!,,0)*IF(C_S_Digital[[#This Row],[Efecto]]="Impacto",1-C_S_Digital[[#This Row],[Peso]],1),IF(C_S_Digital[[#This Row],[Efecto]]="Impacto",V276*(1-C_S_Digital[[#This Row],[Peso]]),V276)),"")</f>
        <v/>
      </c>
    </row>
    <row r="278" spans="1:22" x14ac:dyDescent="0.25">
      <c r="A278" s="3">
        <v>273</v>
      </c>
      <c r="B278" s="85">
        <f>Mapa_RSD!B256</f>
        <v>0</v>
      </c>
      <c r="C278" s="136" t="e">
        <f>+R_S_Digital[[#This Row],[Código Riesgo]]</f>
        <v>#VALUE!</v>
      </c>
      <c r="D278" s="2"/>
      <c r="E278" s="141" t="str">
        <f>IF(C_S_Digital[[#This Row],[Responsable de ejecutar]]&lt;&gt;"",CONCATENATE(C_S_Digital[[#This Row],[Código riesgo]],"-",IF(C_S_Digital[[#This Row],[Código riesgo]]&lt;&gt;C277,1,RIGHT(E277,1)+1)),"")</f>
        <v/>
      </c>
      <c r="F278" s="147"/>
      <c r="G278" s="147"/>
      <c r="H278" s="147"/>
      <c r="I278" s="141" t="s">
        <v>105</v>
      </c>
      <c r="J278" s="141" t="s">
        <v>65</v>
      </c>
      <c r="K278" s="3"/>
      <c r="L278" s="3"/>
      <c r="M278" s="3"/>
      <c r="N278" s="3"/>
      <c r="O278" s="2"/>
      <c r="Q278" s="148"/>
      <c r="R278" s="148"/>
      <c r="S278" s="137">
        <f>_xlfn.XLOOKUP(CONCATENATE(C_S_Digital[[#This Row],[Momento de ejecución]],C_S_Digital[[#This Row],[Forma de ejecución]]),C_Atributos,C_Peso,"",0)</f>
        <v>0.25</v>
      </c>
      <c r="T278" s="141" t="str">
        <f>IFERROR(_xlfn.XLOOKUP(C_S_Digital[[#This Row],[Momento de ejecución]],C_Momento,C_Efecto,,0),"")</f>
        <v>Impacto</v>
      </c>
      <c r="U278" s="143" t="str">
        <f>IFERROR(IF(C_S_Digital[[#This Row],[Código riesgo]]&lt;&gt;C277,_xlfn.XLOOKUP(C278,R_S_Digital[Código Riesgo],#REF!,,0)*IF(C_S_Digital[[#This Row],[Efecto]]="Probabilidad",1-C_S_Digital[[#This Row],[Peso]],1),IF(C_S_Digital[[#This Row],[Efecto]]="Probabilidad",U277*(1-C_S_Digital[[#This Row],[Peso]]),U277)),"")</f>
        <v/>
      </c>
      <c r="V278" s="144" t="str">
        <f>IFERROR(IF(C_S_Digital[[#This Row],[Código riesgo]]&lt;&gt;C277,_xlfn.XLOOKUP(C_S_Digital[[#This Row],[Código riesgo]],R_S_Digital[Código Riesgo],#REF!,,0)*IF(C_S_Digital[[#This Row],[Efecto]]="Impacto",1-C_S_Digital[[#This Row],[Peso]],1),IF(C_S_Digital[[#This Row],[Efecto]]="Impacto",V277*(1-C_S_Digital[[#This Row],[Peso]]),V277)),"")</f>
        <v/>
      </c>
    </row>
    <row r="279" spans="1:22" x14ac:dyDescent="0.25">
      <c r="A279" s="3">
        <v>274</v>
      </c>
      <c r="B279" s="85">
        <f>Mapa_RSD!B257</f>
        <v>0</v>
      </c>
      <c r="C279" s="136" t="e">
        <f>+R_S_Digital[[#This Row],[Código Riesgo]]</f>
        <v>#VALUE!</v>
      </c>
      <c r="D279" s="2"/>
      <c r="E279" s="141" t="str">
        <f>IF(C_S_Digital[[#This Row],[Responsable de ejecutar]]&lt;&gt;"",CONCATENATE(C_S_Digital[[#This Row],[Código riesgo]],"-",IF(C_S_Digital[[#This Row],[Código riesgo]]&lt;&gt;C278,1,RIGHT(E278,1)+1)),"")</f>
        <v/>
      </c>
      <c r="F279" s="147"/>
      <c r="G279" s="147"/>
      <c r="H279" s="147"/>
      <c r="I279" s="141" t="s">
        <v>105</v>
      </c>
      <c r="J279" s="141" t="s">
        <v>65</v>
      </c>
      <c r="K279" s="3"/>
      <c r="L279" s="3"/>
      <c r="M279" s="3"/>
      <c r="N279" s="3"/>
      <c r="O279" s="2"/>
      <c r="Q279" s="148"/>
      <c r="R279" s="148"/>
      <c r="S279" s="137">
        <f>_xlfn.XLOOKUP(CONCATENATE(C_S_Digital[[#This Row],[Momento de ejecución]],C_S_Digital[[#This Row],[Forma de ejecución]]),C_Atributos,C_Peso,"",0)</f>
        <v>0.25</v>
      </c>
      <c r="T279" s="141" t="str">
        <f>IFERROR(_xlfn.XLOOKUP(C_S_Digital[[#This Row],[Momento de ejecución]],C_Momento,C_Efecto,,0),"")</f>
        <v>Impacto</v>
      </c>
      <c r="U279" s="143" t="str">
        <f>IFERROR(IF(C_S_Digital[[#This Row],[Código riesgo]]&lt;&gt;C278,_xlfn.XLOOKUP(C279,R_S_Digital[Código Riesgo],#REF!,,0)*IF(C_S_Digital[[#This Row],[Efecto]]="Probabilidad",1-C_S_Digital[[#This Row],[Peso]],1),IF(C_S_Digital[[#This Row],[Efecto]]="Probabilidad",U278*(1-C_S_Digital[[#This Row],[Peso]]),U278)),"")</f>
        <v/>
      </c>
      <c r="V279" s="144" t="str">
        <f>IFERROR(IF(C_S_Digital[[#This Row],[Código riesgo]]&lt;&gt;C278,_xlfn.XLOOKUP(C_S_Digital[[#This Row],[Código riesgo]],R_S_Digital[Código Riesgo],#REF!,,0)*IF(C_S_Digital[[#This Row],[Efecto]]="Impacto",1-C_S_Digital[[#This Row],[Peso]],1),IF(C_S_Digital[[#This Row],[Efecto]]="Impacto",V278*(1-C_S_Digital[[#This Row],[Peso]]),V278)),"")</f>
        <v/>
      </c>
    </row>
    <row r="280" spans="1:22" x14ac:dyDescent="0.25">
      <c r="A280" s="3">
        <v>275</v>
      </c>
      <c r="B280" s="85">
        <f>Mapa_RSD!B258</f>
        <v>0</v>
      </c>
      <c r="C280" s="136" t="e">
        <f>+R_S_Digital[[#This Row],[Código Riesgo]]</f>
        <v>#VALUE!</v>
      </c>
      <c r="D280" s="2"/>
      <c r="E280" s="141" t="str">
        <f>IF(C_S_Digital[[#This Row],[Responsable de ejecutar]]&lt;&gt;"",CONCATENATE(C_S_Digital[[#This Row],[Código riesgo]],"-",IF(C_S_Digital[[#This Row],[Código riesgo]]&lt;&gt;C279,1,RIGHT(E279,1)+1)),"")</f>
        <v/>
      </c>
      <c r="F280" s="147"/>
      <c r="G280" s="147"/>
      <c r="H280" s="147"/>
      <c r="I280" s="141" t="s">
        <v>105</v>
      </c>
      <c r="J280" s="141" t="s">
        <v>65</v>
      </c>
      <c r="K280" s="3"/>
      <c r="L280" s="3"/>
      <c r="M280" s="3"/>
      <c r="N280" s="3"/>
      <c r="O280" s="2"/>
      <c r="Q280" s="148"/>
      <c r="R280" s="148"/>
      <c r="S280" s="137">
        <f>_xlfn.XLOOKUP(CONCATENATE(C_S_Digital[[#This Row],[Momento de ejecución]],C_S_Digital[[#This Row],[Forma de ejecución]]),C_Atributos,C_Peso,"",0)</f>
        <v>0.25</v>
      </c>
      <c r="T280" s="141" t="str">
        <f>IFERROR(_xlfn.XLOOKUP(C_S_Digital[[#This Row],[Momento de ejecución]],C_Momento,C_Efecto,,0),"")</f>
        <v>Impacto</v>
      </c>
      <c r="U280" s="143" t="str">
        <f>IFERROR(IF(C_S_Digital[[#This Row],[Código riesgo]]&lt;&gt;C279,_xlfn.XLOOKUP(C280,R_S_Digital[Código Riesgo],#REF!,,0)*IF(C_S_Digital[[#This Row],[Efecto]]="Probabilidad",1-C_S_Digital[[#This Row],[Peso]],1),IF(C_S_Digital[[#This Row],[Efecto]]="Probabilidad",U279*(1-C_S_Digital[[#This Row],[Peso]]),U279)),"")</f>
        <v/>
      </c>
      <c r="V280" s="144" t="str">
        <f>IFERROR(IF(C_S_Digital[[#This Row],[Código riesgo]]&lt;&gt;C279,_xlfn.XLOOKUP(C_S_Digital[[#This Row],[Código riesgo]],R_S_Digital[Código Riesgo],#REF!,,0)*IF(C_S_Digital[[#This Row],[Efecto]]="Impacto",1-C_S_Digital[[#This Row],[Peso]],1),IF(C_S_Digital[[#This Row],[Efecto]]="Impacto",V279*(1-C_S_Digital[[#This Row],[Peso]]),V279)),"")</f>
        <v/>
      </c>
    </row>
    <row r="281" spans="1:22" x14ac:dyDescent="0.25">
      <c r="A281" s="3">
        <v>276</v>
      </c>
      <c r="B281" s="85">
        <f>Mapa_RSD!B259</f>
        <v>0</v>
      </c>
      <c r="C281" s="136" t="e">
        <f>+R_S_Digital[[#This Row],[Código Riesgo]]</f>
        <v>#VALUE!</v>
      </c>
      <c r="D281" s="2"/>
      <c r="E281" s="141" t="str">
        <f>IF(C_S_Digital[[#This Row],[Responsable de ejecutar]]&lt;&gt;"",CONCATENATE(C_S_Digital[[#This Row],[Código riesgo]],"-",IF(C_S_Digital[[#This Row],[Código riesgo]]&lt;&gt;C280,1,RIGHT(E280,1)+1)),"")</f>
        <v/>
      </c>
      <c r="F281" s="147"/>
      <c r="G281" s="147"/>
      <c r="H281" s="147"/>
      <c r="I281" s="141" t="s">
        <v>105</v>
      </c>
      <c r="J281" s="141" t="s">
        <v>65</v>
      </c>
      <c r="K281" s="3"/>
      <c r="L281" s="3"/>
      <c r="M281" s="3"/>
      <c r="N281" s="3"/>
      <c r="O281" s="2"/>
      <c r="Q281" s="148"/>
      <c r="R281" s="148"/>
      <c r="S281" s="137">
        <f>_xlfn.XLOOKUP(CONCATENATE(C_S_Digital[[#This Row],[Momento de ejecución]],C_S_Digital[[#This Row],[Forma de ejecución]]),C_Atributos,C_Peso,"",0)</f>
        <v>0.25</v>
      </c>
      <c r="T281" s="141" t="str">
        <f>IFERROR(_xlfn.XLOOKUP(C_S_Digital[[#This Row],[Momento de ejecución]],C_Momento,C_Efecto,,0),"")</f>
        <v>Impacto</v>
      </c>
      <c r="U281" s="143" t="str">
        <f>IFERROR(IF(C_S_Digital[[#This Row],[Código riesgo]]&lt;&gt;C280,_xlfn.XLOOKUP(C281,R_S_Digital[Código Riesgo],#REF!,,0)*IF(C_S_Digital[[#This Row],[Efecto]]="Probabilidad",1-C_S_Digital[[#This Row],[Peso]],1),IF(C_S_Digital[[#This Row],[Efecto]]="Probabilidad",U280*(1-C_S_Digital[[#This Row],[Peso]]),U280)),"")</f>
        <v/>
      </c>
      <c r="V281" s="144" t="str">
        <f>IFERROR(IF(C_S_Digital[[#This Row],[Código riesgo]]&lt;&gt;C280,_xlfn.XLOOKUP(C_S_Digital[[#This Row],[Código riesgo]],R_S_Digital[Código Riesgo],#REF!,,0)*IF(C_S_Digital[[#This Row],[Efecto]]="Impacto",1-C_S_Digital[[#This Row],[Peso]],1),IF(C_S_Digital[[#This Row],[Efecto]]="Impacto",V280*(1-C_S_Digital[[#This Row],[Peso]]),V280)),"")</f>
        <v/>
      </c>
    </row>
    <row r="282" spans="1:22" x14ac:dyDescent="0.25">
      <c r="A282" s="3">
        <v>277</v>
      </c>
      <c r="B282" s="85">
        <f>Mapa_RSD!B260</f>
        <v>0</v>
      </c>
      <c r="C282" s="136" t="e">
        <f>+R_S_Digital[[#This Row],[Código Riesgo]]</f>
        <v>#VALUE!</v>
      </c>
      <c r="D282" s="2"/>
      <c r="E282" s="141" t="str">
        <f>IF(C_S_Digital[[#This Row],[Responsable de ejecutar]]&lt;&gt;"",CONCATENATE(C_S_Digital[[#This Row],[Código riesgo]],"-",IF(C_S_Digital[[#This Row],[Código riesgo]]&lt;&gt;C281,1,RIGHT(E281,1)+1)),"")</f>
        <v/>
      </c>
      <c r="F282" s="147"/>
      <c r="G282" s="147"/>
      <c r="H282" s="147"/>
      <c r="I282" s="141" t="s">
        <v>105</v>
      </c>
      <c r="J282" s="141" t="s">
        <v>65</v>
      </c>
      <c r="K282" s="3"/>
      <c r="L282" s="3"/>
      <c r="M282" s="3"/>
      <c r="N282" s="3"/>
      <c r="O282" s="2"/>
      <c r="Q282" s="148"/>
      <c r="R282" s="148"/>
      <c r="S282" s="137">
        <f>_xlfn.XLOOKUP(CONCATENATE(C_S_Digital[[#This Row],[Momento de ejecución]],C_S_Digital[[#This Row],[Forma de ejecución]]),C_Atributos,C_Peso,"",0)</f>
        <v>0.25</v>
      </c>
      <c r="T282" s="141" t="str">
        <f>IFERROR(_xlfn.XLOOKUP(C_S_Digital[[#This Row],[Momento de ejecución]],C_Momento,C_Efecto,,0),"")</f>
        <v>Impacto</v>
      </c>
      <c r="U282" s="143" t="str">
        <f>IFERROR(IF(C_S_Digital[[#This Row],[Código riesgo]]&lt;&gt;C281,_xlfn.XLOOKUP(C282,R_S_Digital[Código Riesgo],#REF!,,0)*IF(C_S_Digital[[#This Row],[Efecto]]="Probabilidad",1-C_S_Digital[[#This Row],[Peso]],1),IF(C_S_Digital[[#This Row],[Efecto]]="Probabilidad",U281*(1-C_S_Digital[[#This Row],[Peso]]),U281)),"")</f>
        <v/>
      </c>
      <c r="V282" s="144" t="str">
        <f>IFERROR(IF(C_S_Digital[[#This Row],[Código riesgo]]&lt;&gt;C281,_xlfn.XLOOKUP(C_S_Digital[[#This Row],[Código riesgo]],R_S_Digital[Código Riesgo],#REF!,,0)*IF(C_S_Digital[[#This Row],[Efecto]]="Impacto",1-C_S_Digital[[#This Row],[Peso]],1),IF(C_S_Digital[[#This Row],[Efecto]]="Impacto",V281*(1-C_S_Digital[[#This Row],[Peso]]),V281)),"")</f>
        <v/>
      </c>
    </row>
    <row r="283" spans="1:22" x14ac:dyDescent="0.25">
      <c r="A283" s="3">
        <v>278</v>
      </c>
      <c r="B283" s="85">
        <f>Mapa_RSD!B261</f>
        <v>0</v>
      </c>
      <c r="C283" s="136" t="e">
        <f>+R_S_Digital[[#This Row],[Código Riesgo]]</f>
        <v>#VALUE!</v>
      </c>
      <c r="D283" s="2"/>
      <c r="E283" s="141" t="str">
        <f>IF(C_S_Digital[[#This Row],[Responsable de ejecutar]]&lt;&gt;"",CONCATENATE(C_S_Digital[[#This Row],[Código riesgo]],"-",IF(C_S_Digital[[#This Row],[Código riesgo]]&lt;&gt;C282,1,RIGHT(E282,1)+1)),"")</f>
        <v/>
      </c>
      <c r="F283" s="147"/>
      <c r="G283" s="147"/>
      <c r="H283" s="147"/>
      <c r="I283" s="141" t="s">
        <v>105</v>
      </c>
      <c r="J283" s="141" t="s">
        <v>65</v>
      </c>
      <c r="K283" s="3"/>
      <c r="L283" s="3"/>
      <c r="M283" s="3"/>
      <c r="N283" s="3"/>
      <c r="O283" s="2"/>
      <c r="Q283" s="148"/>
      <c r="R283" s="148"/>
      <c r="S283" s="137">
        <f>_xlfn.XLOOKUP(CONCATENATE(C_S_Digital[[#This Row],[Momento de ejecución]],C_S_Digital[[#This Row],[Forma de ejecución]]),C_Atributos,C_Peso,"",0)</f>
        <v>0.25</v>
      </c>
      <c r="T283" s="141" t="str">
        <f>IFERROR(_xlfn.XLOOKUP(C_S_Digital[[#This Row],[Momento de ejecución]],C_Momento,C_Efecto,,0),"")</f>
        <v>Impacto</v>
      </c>
      <c r="U283" s="143" t="str">
        <f>IFERROR(IF(C_S_Digital[[#This Row],[Código riesgo]]&lt;&gt;C282,_xlfn.XLOOKUP(C283,R_S_Digital[Código Riesgo],#REF!,,0)*IF(C_S_Digital[[#This Row],[Efecto]]="Probabilidad",1-C_S_Digital[[#This Row],[Peso]],1),IF(C_S_Digital[[#This Row],[Efecto]]="Probabilidad",U282*(1-C_S_Digital[[#This Row],[Peso]]),U282)),"")</f>
        <v/>
      </c>
      <c r="V283" s="144" t="str">
        <f>IFERROR(IF(C_S_Digital[[#This Row],[Código riesgo]]&lt;&gt;C282,_xlfn.XLOOKUP(C_S_Digital[[#This Row],[Código riesgo]],R_S_Digital[Código Riesgo],#REF!,,0)*IF(C_S_Digital[[#This Row],[Efecto]]="Impacto",1-C_S_Digital[[#This Row],[Peso]],1),IF(C_S_Digital[[#This Row],[Efecto]]="Impacto",V282*(1-C_S_Digital[[#This Row],[Peso]]),V282)),"")</f>
        <v/>
      </c>
    </row>
    <row r="284" spans="1:22" x14ac:dyDescent="0.25">
      <c r="A284" s="3">
        <v>279</v>
      </c>
      <c r="B284" s="85">
        <f>Mapa_RSD!B262</f>
        <v>0</v>
      </c>
      <c r="C284" s="136" t="e">
        <f>+R_S_Digital[[#This Row],[Código Riesgo]]</f>
        <v>#VALUE!</v>
      </c>
      <c r="D284" s="2"/>
      <c r="E284" s="141" t="str">
        <f>IF(C_S_Digital[[#This Row],[Responsable de ejecutar]]&lt;&gt;"",CONCATENATE(C_S_Digital[[#This Row],[Código riesgo]],"-",IF(C_S_Digital[[#This Row],[Código riesgo]]&lt;&gt;C283,1,RIGHT(E283,1)+1)),"")</f>
        <v/>
      </c>
      <c r="F284" s="147"/>
      <c r="G284" s="147"/>
      <c r="H284" s="147"/>
      <c r="I284" s="141" t="s">
        <v>105</v>
      </c>
      <c r="J284" s="141" t="s">
        <v>65</v>
      </c>
      <c r="K284" s="3"/>
      <c r="L284" s="3"/>
      <c r="M284" s="3"/>
      <c r="N284" s="3"/>
      <c r="O284" s="2"/>
      <c r="Q284" s="148"/>
      <c r="R284" s="148"/>
      <c r="S284" s="137">
        <f>_xlfn.XLOOKUP(CONCATENATE(C_S_Digital[[#This Row],[Momento de ejecución]],C_S_Digital[[#This Row],[Forma de ejecución]]),C_Atributos,C_Peso,"",0)</f>
        <v>0.25</v>
      </c>
      <c r="T284" s="141" t="str">
        <f>IFERROR(_xlfn.XLOOKUP(C_S_Digital[[#This Row],[Momento de ejecución]],C_Momento,C_Efecto,,0),"")</f>
        <v>Impacto</v>
      </c>
      <c r="U284" s="143" t="str">
        <f>IFERROR(IF(C_S_Digital[[#This Row],[Código riesgo]]&lt;&gt;C283,_xlfn.XLOOKUP(C284,R_S_Digital[Código Riesgo],#REF!,,0)*IF(C_S_Digital[[#This Row],[Efecto]]="Probabilidad",1-C_S_Digital[[#This Row],[Peso]],1),IF(C_S_Digital[[#This Row],[Efecto]]="Probabilidad",U283*(1-C_S_Digital[[#This Row],[Peso]]),U283)),"")</f>
        <v/>
      </c>
      <c r="V284" s="144" t="str">
        <f>IFERROR(IF(C_S_Digital[[#This Row],[Código riesgo]]&lt;&gt;C283,_xlfn.XLOOKUP(C_S_Digital[[#This Row],[Código riesgo]],R_S_Digital[Código Riesgo],#REF!,,0)*IF(C_S_Digital[[#This Row],[Efecto]]="Impacto",1-C_S_Digital[[#This Row],[Peso]],1),IF(C_S_Digital[[#This Row],[Efecto]]="Impacto",V283*(1-C_S_Digital[[#This Row],[Peso]]),V283)),"")</f>
        <v/>
      </c>
    </row>
    <row r="285" spans="1:22" x14ac:dyDescent="0.25">
      <c r="A285" s="3">
        <v>280</v>
      </c>
      <c r="B285" s="85">
        <f>Mapa_RSD!B263</f>
        <v>0</v>
      </c>
      <c r="C285" s="136" t="e">
        <f>+R_S_Digital[[#This Row],[Código Riesgo]]</f>
        <v>#VALUE!</v>
      </c>
      <c r="D285" s="2"/>
      <c r="E285" s="141" t="str">
        <f>IF(C_S_Digital[[#This Row],[Responsable de ejecutar]]&lt;&gt;"",CONCATENATE(C_S_Digital[[#This Row],[Código riesgo]],"-",IF(C_S_Digital[[#This Row],[Código riesgo]]&lt;&gt;C284,1,RIGHT(E284,1)+1)),"")</f>
        <v/>
      </c>
      <c r="F285" s="147"/>
      <c r="G285" s="147"/>
      <c r="H285" s="147"/>
      <c r="I285" s="141" t="s">
        <v>105</v>
      </c>
      <c r="J285" s="141" t="s">
        <v>65</v>
      </c>
      <c r="K285" s="3"/>
      <c r="L285" s="3"/>
      <c r="M285" s="3"/>
      <c r="N285" s="3"/>
      <c r="O285" s="2"/>
      <c r="Q285" s="148"/>
      <c r="R285" s="148"/>
      <c r="S285" s="137">
        <f>_xlfn.XLOOKUP(CONCATENATE(C_S_Digital[[#This Row],[Momento de ejecución]],C_S_Digital[[#This Row],[Forma de ejecución]]),C_Atributos,C_Peso,"",0)</f>
        <v>0.25</v>
      </c>
      <c r="T285" s="141" t="str">
        <f>IFERROR(_xlfn.XLOOKUP(C_S_Digital[[#This Row],[Momento de ejecución]],C_Momento,C_Efecto,,0),"")</f>
        <v>Impacto</v>
      </c>
      <c r="U285" s="143" t="str">
        <f>IFERROR(IF(C_S_Digital[[#This Row],[Código riesgo]]&lt;&gt;C284,_xlfn.XLOOKUP(C285,R_S_Digital[Código Riesgo],#REF!,,0)*IF(C_S_Digital[[#This Row],[Efecto]]="Probabilidad",1-C_S_Digital[[#This Row],[Peso]],1),IF(C_S_Digital[[#This Row],[Efecto]]="Probabilidad",U284*(1-C_S_Digital[[#This Row],[Peso]]),U284)),"")</f>
        <v/>
      </c>
      <c r="V285" s="144" t="str">
        <f>IFERROR(IF(C_S_Digital[[#This Row],[Código riesgo]]&lt;&gt;C284,_xlfn.XLOOKUP(C_S_Digital[[#This Row],[Código riesgo]],R_S_Digital[Código Riesgo],#REF!,,0)*IF(C_S_Digital[[#This Row],[Efecto]]="Impacto",1-C_S_Digital[[#This Row],[Peso]],1),IF(C_S_Digital[[#This Row],[Efecto]]="Impacto",V284*(1-C_S_Digital[[#This Row],[Peso]]),V284)),"")</f>
        <v/>
      </c>
    </row>
    <row r="286" spans="1:22" x14ac:dyDescent="0.25">
      <c r="A286" s="3">
        <v>281</v>
      </c>
      <c r="B286" s="85">
        <f>Mapa_RSD!B264</f>
        <v>0</v>
      </c>
      <c r="C286" s="136" t="e">
        <f>+R_S_Digital[[#This Row],[Código Riesgo]]</f>
        <v>#VALUE!</v>
      </c>
      <c r="D286" s="2"/>
      <c r="E286" s="141" t="str">
        <f>IF(C_S_Digital[[#This Row],[Responsable de ejecutar]]&lt;&gt;"",CONCATENATE(C_S_Digital[[#This Row],[Código riesgo]],"-",IF(C_S_Digital[[#This Row],[Código riesgo]]&lt;&gt;C285,1,RIGHT(E285,1)+1)),"")</f>
        <v/>
      </c>
      <c r="F286" s="147"/>
      <c r="G286" s="147"/>
      <c r="H286" s="147"/>
      <c r="I286" s="141" t="s">
        <v>105</v>
      </c>
      <c r="J286" s="141" t="s">
        <v>65</v>
      </c>
      <c r="K286" s="3"/>
      <c r="L286" s="3"/>
      <c r="M286" s="3"/>
      <c r="N286" s="3"/>
      <c r="O286" s="2"/>
      <c r="Q286" s="148"/>
      <c r="R286" s="148"/>
      <c r="S286" s="137">
        <f>_xlfn.XLOOKUP(CONCATENATE(C_S_Digital[[#This Row],[Momento de ejecución]],C_S_Digital[[#This Row],[Forma de ejecución]]),C_Atributos,C_Peso,"",0)</f>
        <v>0.25</v>
      </c>
      <c r="T286" s="141" t="str">
        <f>IFERROR(_xlfn.XLOOKUP(C_S_Digital[[#This Row],[Momento de ejecución]],C_Momento,C_Efecto,,0),"")</f>
        <v>Impacto</v>
      </c>
      <c r="U286" s="143" t="str">
        <f>IFERROR(IF(C_S_Digital[[#This Row],[Código riesgo]]&lt;&gt;C285,_xlfn.XLOOKUP(C286,R_S_Digital[Código Riesgo],#REF!,,0)*IF(C_S_Digital[[#This Row],[Efecto]]="Probabilidad",1-C_S_Digital[[#This Row],[Peso]],1),IF(C_S_Digital[[#This Row],[Efecto]]="Probabilidad",U285*(1-C_S_Digital[[#This Row],[Peso]]),U285)),"")</f>
        <v/>
      </c>
      <c r="V286" s="144" t="str">
        <f>IFERROR(IF(C_S_Digital[[#This Row],[Código riesgo]]&lt;&gt;C285,_xlfn.XLOOKUP(C_S_Digital[[#This Row],[Código riesgo]],R_S_Digital[Código Riesgo],#REF!,,0)*IF(C_S_Digital[[#This Row],[Efecto]]="Impacto",1-C_S_Digital[[#This Row],[Peso]],1),IF(C_S_Digital[[#This Row],[Efecto]]="Impacto",V285*(1-C_S_Digital[[#This Row],[Peso]]),V285)),"")</f>
        <v/>
      </c>
    </row>
    <row r="287" spans="1:22" x14ac:dyDescent="0.25">
      <c r="A287" s="3">
        <v>282</v>
      </c>
      <c r="B287" s="85">
        <f>Mapa_RSD!B265</f>
        <v>0</v>
      </c>
      <c r="C287" s="136" t="e">
        <f>+R_S_Digital[[#This Row],[Código Riesgo]]</f>
        <v>#VALUE!</v>
      </c>
      <c r="D287" s="2"/>
      <c r="E287" s="141" t="str">
        <f>IF(C_S_Digital[[#This Row],[Responsable de ejecutar]]&lt;&gt;"",CONCATENATE(C_S_Digital[[#This Row],[Código riesgo]],"-",IF(C_S_Digital[[#This Row],[Código riesgo]]&lt;&gt;C286,1,RIGHT(E286,1)+1)),"")</f>
        <v/>
      </c>
      <c r="F287" s="147"/>
      <c r="G287" s="147"/>
      <c r="H287" s="147"/>
      <c r="I287" s="141" t="s">
        <v>105</v>
      </c>
      <c r="J287" s="141" t="s">
        <v>65</v>
      </c>
      <c r="K287" s="3"/>
      <c r="L287" s="3"/>
      <c r="M287" s="3"/>
      <c r="N287" s="3"/>
      <c r="O287" s="2"/>
      <c r="Q287" s="148"/>
      <c r="R287" s="148"/>
      <c r="S287" s="137">
        <f>_xlfn.XLOOKUP(CONCATENATE(C_S_Digital[[#This Row],[Momento de ejecución]],C_S_Digital[[#This Row],[Forma de ejecución]]),C_Atributos,C_Peso,"",0)</f>
        <v>0.25</v>
      </c>
      <c r="T287" s="141" t="str">
        <f>IFERROR(_xlfn.XLOOKUP(C_S_Digital[[#This Row],[Momento de ejecución]],C_Momento,C_Efecto,,0),"")</f>
        <v>Impacto</v>
      </c>
      <c r="U287" s="143" t="str">
        <f>IFERROR(IF(C_S_Digital[[#This Row],[Código riesgo]]&lt;&gt;C286,_xlfn.XLOOKUP(C287,R_S_Digital[Código Riesgo],#REF!,,0)*IF(C_S_Digital[[#This Row],[Efecto]]="Probabilidad",1-C_S_Digital[[#This Row],[Peso]],1),IF(C_S_Digital[[#This Row],[Efecto]]="Probabilidad",U286*(1-C_S_Digital[[#This Row],[Peso]]),U286)),"")</f>
        <v/>
      </c>
      <c r="V287" s="144" t="str">
        <f>IFERROR(IF(C_S_Digital[[#This Row],[Código riesgo]]&lt;&gt;C286,_xlfn.XLOOKUP(C_S_Digital[[#This Row],[Código riesgo]],R_S_Digital[Código Riesgo],#REF!,,0)*IF(C_S_Digital[[#This Row],[Efecto]]="Impacto",1-C_S_Digital[[#This Row],[Peso]],1),IF(C_S_Digital[[#This Row],[Efecto]]="Impacto",V286*(1-C_S_Digital[[#This Row],[Peso]]),V286)),"")</f>
        <v/>
      </c>
    </row>
    <row r="288" spans="1:22" x14ac:dyDescent="0.25">
      <c r="A288" s="3">
        <v>283</v>
      </c>
      <c r="B288" s="85">
        <f>Mapa_RSD!B266</f>
        <v>0</v>
      </c>
      <c r="C288" s="136" t="e">
        <f>+R_S_Digital[[#This Row],[Código Riesgo]]</f>
        <v>#VALUE!</v>
      </c>
      <c r="D288" s="2"/>
      <c r="E288" s="141" t="str">
        <f>IF(C_S_Digital[[#This Row],[Responsable de ejecutar]]&lt;&gt;"",CONCATENATE(C_S_Digital[[#This Row],[Código riesgo]],"-",IF(C_S_Digital[[#This Row],[Código riesgo]]&lt;&gt;C287,1,RIGHT(E287,1)+1)),"")</f>
        <v/>
      </c>
      <c r="F288" s="147"/>
      <c r="G288" s="147"/>
      <c r="H288" s="147"/>
      <c r="I288" s="141" t="s">
        <v>105</v>
      </c>
      <c r="J288" s="141" t="s">
        <v>65</v>
      </c>
      <c r="K288" s="3"/>
      <c r="L288" s="3"/>
      <c r="M288" s="3"/>
      <c r="N288" s="3"/>
      <c r="O288" s="2"/>
      <c r="Q288" s="148"/>
      <c r="R288" s="148"/>
      <c r="S288" s="137">
        <f>_xlfn.XLOOKUP(CONCATENATE(C_S_Digital[[#This Row],[Momento de ejecución]],C_S_Digital[[#This Row],[Forma de ejecución]]),C_Atributos,C_Peso,"",0)</f>
        <v>0.25</v>
      </c>
      <c r="T288" s="141" t="str">
        <f>IFERROR(_xlfn.XLOOKUP(C_S_Digital[[#This Row],[Momento de ejecución]],C_Momento,C_Efecto,,0),"")</f>
        <v>Impacto</v>
      </c>
      <c r="U288" s="143" t="str">
        <f>IFERROR(IF(C_S_Digital[[#This Row],[Código riesgo]]&lt;&gt;C287,_xlfn.XLOOKUP(C288,R_S_Digital[Código Riesgo],#REF!,,0)*IF(C_S_Digital[[#This Row],[Efecto]]="Probabilidad",1-C_S_Digital[[#This Row],[Peso]],1),IF(C_S_Digital[[#This Row],[Efecto]]="Probabilidad",U287*(1-C_S_Digital[[#This Row],[Peso]]),U287)),"")</f>
        <v/>
      </c>
      <c r="V288" s="144" t="str">
        <f>IFERROR(IF(C_S_Digital[[#This Row],[Código riesgo]]&lt;&gt;C287,_xlfn.XLOOKUP(C_S_Digital[[#This Row],[Código riesgo]],R_S_Digital[Código Riesgo],#REF!,,0)*IF(C_S_Digital[[#This Row],[Efecto]]="Impacto",1-C_S_Digital[[#This Row],[Peso]],1),IF(C_S_Digital[[#This Row],[Efecto]]="Impacto",V287*(1-C_S_Digital[[#This Row],[Peso]]),V287)),"")</f>
        <v/>
      </c>
    </row>
    <row r="289" spans="1:22" x14ac:dyDescent="0.25">
      <c r="A289" s="3">
        <v>284</v>
      </c>
      <c r="B289" s="85">
        <f>Mapa_RSD!B267</f>
        <v>0</v>
      </c>
      <c r="C289" s="136" t="e">
        <f>+R_S_Digital[[#This Row],[Código Riesgo]]</f>
        <v>#VALUE!</v>
      </c>
      <c r="D289" s="2"/>
      <c r="E289" s="141" t="str">
        <f>IF(C_S_Digital[[#This Row],[Responsable de ejecutar]]&lt;&gt;"",CONCATENATE(C_S_Digital[[#This Row],[Código riesgo]],"-",IF(C_S_Digital[[#This Row],[Código riesgo]]&lt;&gt;C288,1,RIGHT(E288,1)+1)),"")</f>
        <v/>
      </c>
      <c r="F289" s="147"/>
      <c r="G289" s="147"/>
      <c r="H289" s="147"/>
      <c r="I289" s="141" t="s">
        <v>105</v>
      </c>
      <c r="J289" s="141" t="s">
        <v>65</v>
      </c>
      <c r="K289" s="3"/>
      <c r="L289" s="3"/>
      <c r="M289" s="3"/>
      <c r="N289" s="3"/>
      <c r="O289" s="2"/>
      <c r="Q289" s="148"/>
      <c r="R289" s="148"/>
      <c r="S289" s="137">
        <f>_xlfn.XLOOKUP(CONCATENATE(C_S_Digital[[#This Row],[Momento de ejecución]],C_S_Digital[[#This Row],[Forma de ejecución]]),C_Atributos,C_Peso,"",0)</f>
        <v>0.25</v>
      </c>
      <c r="T289" s="141" t="str">
        <f>IFERROR(_xlfn.XLOOKUP(C_S_Digital[[#This Row],[Momento de ejecución]],C_Momento,C_Efecto,,0),"")</f>
        <v>Impacto</v>
      </c>
      <c r="U289" s="143" t="str">
        <f>IFERROR(IF(C_S_Digital[[#This Row],[Código riesgo]]&lt;&gt;C288,_xlfn.XLOOKUP(C289,R_S_Digital[Código Riesgo],#REF!,,0)*IF(C_S_Digital[[#This Row],[Efecto]]="Probabilidad",1-C_S_Digital[[#This Row],[Peso]],1),IF(C_S_Digital[[#This Row],[Efecto]]="Probabilidad",U288*(1-C_S_Digital[[#This Row],[Peso]]),U288)),"")</f>
        <v/>
      </c>
      <c r="V289" s="144" t="str">
        <f>IFERROR(IF(C_S_Digital[[#This Row],[Código riesgo]]&lt;&gt;C288,_xlfn.XLOOKUP(C_S_Digital[[#This Row],[Código riesgo]],R_S_Digital[Código Riesgo],#REF!,,0)*IF(C_S_Digital[[#This Row],[Efecto]]="Impacto",1-C_S_Digital[[#This Row],[Peso]],1),IF(C_S_Digital[[#This Row],[Efecto]]="Impacto",V288*(1-C_S_Digital[[#This Row],[Peso]]),V288)),"")</f>
        <v/>
      </c>
    </row>
    <row r="290" spans="1:22" x14ac:dyDescent="0.25">
      <c r="A290" s="3">
        <v>285</v>
      </c>
      <c r="B290" s="85">
        <f>Mapa_RSD!B268</f>
        <v>0</v>
      </c>
      <c r="C290" s="136" t="e">
        <f>+R_S_Digital[[#This Row],[Código Riesgo]]</f>
        <v>#VALUE!</v>
      </c>
      <c r="D290" s="2"/>
      <c r="E290" s="141" t="str">
        <f>IF(C_S_Digital[[#This Row],[Responsable de ejecutar]]&lt;&gt;"",CONCATENATE(C_S_Digital[[#This Row],[Código riesgo]],"-",IF(C_S_Digital[[#This Row],[Código riesgo]]&lt;&gt;C289,1,RIGHT(E289,1)+1)),"")</f>
        <v/>
      </c>
      <c r="F290" s="147"/>
      <c r="G290" s="147"/>
      <c r="H290" s="147"/>
      <c r="I290" s="141" t="s">
        <v>105</v>
      </c>
      <c r="J290" s="141" t="s">
        <v>65</v>
      </c>
      <c r="K290" s="3"/>
      <c r="L290" s="3"/>
      <c r="M290" s="3"/>
      <c r="N290" s="3"/>
      <c r="O290" s="2"/>
      <c r="Q290" s="148"/>
      <c r="R290" s="148"/>
      <c r="S290" s="137">
        <f>_xlfn.XLOOKUP(CONCATENATE(C_S_Digital[[#This Row],[Momento de ejecución]],C_S_Digital[[#This Row],[Forma de ejecución]]),C_Atributos,C_Peso,"",0)</f>
        <v>0.25</v>
      </c>
      <c r="T290" s="141" t="str">
        <f>IFERROR(_xlfn.XLOOKUP(C_S_Digital[[#This Row],[Momento de ejecución]],C_Momento,C_Efecto,,0),"")</f>
        <v>Impacto</v>
      </c>
      <c r="U290" s="143" t="str">
        <f>IFERROR(IF(C_S_Digital[[#This Row],[Código riesgo]]&lt;&gt;C289,_xlfn.XLOOKUP(C290,R_S_Digital[Código Riesgo],#REF!,,0)*IF(C_S_Digital[[#This Row],[Efecto]]="Probabilidad",1-C_S_Digital[[#This Row],[Peso]],1),IF(C_S_Digital[[#This Row],[Efecto]]="Probabilidad",U289*(1-C_S_Digital[[#This Row],[Peso]]),U289)),"")</f>
        <v/>
      </c>
      <c r="V290" s="144" t="str">
        <f>IFERROR(IF(C_S_Digital[[#This Row],[Código riesgo]]&lt;&gt;C289,_xlfn.XLOOKUP(C_S_Digital[[#This Row],[Código riesgo]],R_S_Digital[Código Riesgo],#REF!,,0)*IF(C_S_Digital[[#This Row],[Efecto]]="Impacto",1-C_S_Digital[[#This Row],[Peso]],1),IF(C_S_Digital[[#This Row],[Efecto]]="Impacto",V289*(1-C_S_Digital[[#This Row],[Peso]]),V289)),"")</f>
        <v/>
      </c>
    </row>
    <row r="291" spans="1:22" x14ac:dyDescent="0.25">
      <c r="A291" s="3">
        <v>286</v>
      </c>
      <c r="B291" s="85">
        <f>Mapa_RSD!B269</f>
        <v>0</v>
      </c>
      <c r="C291" s="136" t="e">
        <f>+R_S_Digital[[#This Row],[Código Riesgo]]</f>
        <v>#VALUE!</v>
      </c>
      <c r="D291" s="2"/>
      <c r="E291" s="141" t="str">
        <f>IF(C_S_Digital[[#This Row],[Responsable de ejecutar]]&lt;&gt;"",CONCATENATE(C_S_Digital[[#This Row],[Código riesgo]],"-",IF(C_S_Digital[[#This Row],[Código riesgo]]&lt;&gt;C290,1,RIGHT(E290,1)+1)),"")</f>
        <v/>
      </c>
      <c r="F291" s="147"/>
      <c r="G291" s="147"/>
      <c r="H291" s="147"/>
      <c r="I291" s="141" t="s">
        <v>105</v>
      </c>
      <c r="J291" s="141" t="s">
        <v>65</v>
      </c>
      <c r="K291" s="3"/>
      <c r="L291" s="3"/>
      <c r="M291" s="3"/>
      <c r="N291" s="3"/>
      <c r="O291" s="2"/>
      <c r="Q291" s="148"/>
      <c r="R291" s="148"/>
      <c r="S291" s="137">
        <f>_xlfn.XLOOKUP(CONCATENATE(C_S_Digital[[#This Row],[Momento de ejecución]],C_S_Digital[[#This Row],[Forma de ejecución]]),C_Atributos,C_Peso,"",0)</f>
        <v>0.25</v>
      </c>
      <c r="T291" s="141" t="str">
        <f>IFERROR(_xlfn.XLOOKUP(C_S_Digital[[#This Row],[Momento de ejecución]],C_Momento,C_Efecto,,0),"")</f>
        <v>Impacto</v>
      </c>
      <c r="U291" s="143" t="str">
        <f>IFERROR(IF(C_S_Digital[[#This Row],[Código riesgo]]&lt;&gt;C290,_xlfn.XLOOKUP(C291,R_S_Digital[Código Riesgo],#REF!,,0)*IF(C_S_Digital[[#This Row],[Efecto]]="Probabilidad",1-C_S_Digital[[#This Row],[Peso]],1),IF(C_S_Digital[[#This Row],[Efecto]]="Probabilidad",U290*(1-C_S_Digital[[#This Row],[Peso]]),U290)),"")</f>
        <v/>
      </c>
      <c r="V291" s="144" t="str">
        <f>IFERROR(IF(C_S_Digital[[#This Row],[Código riesgo]]&lt;&gt;C290,_xlfn.XLOOKUP(C_S_Digital[[#This Row],[Código riesgo]],R_S_Digital[Código Riesgo],#REF!,,0)*IF(C_S_Digital[[#This Row],[Efecto]]="Impacto",1-C_S_Digital[[#This Row],[Peso]],1),IF(C_S_Digital[[#This Row],[Efecto]]="Impacto",V290*(1-C_S_Digital[[#This Row],[Peso]]),V290)),"")</f>
        <v/>
      </c>
    </row>
    <row r="292" spans="1:22" x14ac:dyDescent="0.25">
      <c r="A292" s="3">
        <v>287</v>
      </c>
      <c r="B292" s="85">
        <f>Mapa_RSD!B270</f>
        <v>0</v>
      </c>
      <c r="C292" s="136" t="e">
        <f>+R_S_Digital[[#This Row],[Código Riesgo]]</f>
        <v>#VALUE!</v>
      </c>
      <c r="D292" s="2"/>
      <c r="E292" s="141" t="str">
        <f>IF(C_S_Digital[[#This Row],[Responsable de ejecutar]]&lt;&gt;"",CONCATENATE(C_S_Digital[[#This Row],[Código riesgo]],"-",IF(C_S_Digital[[#This Row],[Código riesgo]]&lt;&gt;C291,1,RIGHT(E291,1)+1)),"")</f>
        <v/>
      </c>
      <c r="F292" s="147"/>
      <c r="G292" s="147"/>
      <c r="H292" s="147"/>
      <c r="I292" s="141" t="s">
        <v>105</v>
      </c>
      <c r="J292" s="141" t="s">
        <v>65</v>
      </c>
      <c r="K292" s="3"/>
      <c r="L292" s="3"/>
      <c r="M292" s="3"/>
      <c r="N292" s="3"/>
      <c r="O292" s="2"/>
      <c r="Q292" s="148"/>
      <c r="R292" s="148"/>
      <c r="S292" s="137">
        <f>_xlfn.XLOOKUP(CONCATENATE(C_S_Digital[[#This Row],[Momento de ejecución]],C_S_Digital[[#This Row],[Forma de ejecución]]),C_Atributos,C_Peso,"",0)</f>
        <v>0.25</v>
      </c>
      <c r="T292" s="141" t="str">
        <f>IFERROR(_xlfn.XLOOKUP(C_S_Digital[[#This Row],[Momento de ejecución]],C_Momento,C_Efecto,,0),"")</f>
        <v>Impacto</v>
      </c>
      <c r="U292" s="143" t="str">
        <f>IFERROR(IF(C_S_Digital[[#This Row],[Código riesgo]]&lt;&gt;C291,_xlfn.XLOOKUP(C292,R_S_Digital[Código Riesgo],#REF!,,0)*IF(C_S_Digital[[#This Row],[Efecto]]="Probabilidad",1-C_S_Digital[[#This Row],[Peso]],1),IF(C_S_Digital[[#This Row],[Efecto]]="Probabilidad",U291*(1-C_S_Digital[[#This Row],[Peso]]),U291)),"")</f>
        <v/>
      </c>
      <c r="V292" s="144" t="str">
        <f>IFERROR(IF(C_S_Digital[[#This Row],[Código riesgo]]&lt;&gt;C291,_xlfn.XLOOKUP(C_S_Digital[[#This Row],[Código riesgo]],R_S_Digital[Código Riesgo],#REF!,,0)*IF(C_S_Digital[[#This Row],[Efecto]]="Impacto",1-C_S_Digital[[#This Row],[Peso]],1),IF(C_S_Digital[[#This Row],[Efecto]]="Impacto",V291*(1-C_S_Digital[[#This Row],[Peso]]),V291)),"")</f>
        <v/>
      </c>
    </row>
    <row r="293" spans="1:22" x14ac:dyDescent="0.25">
      <c r="A293" s="3">
        <v>288</v>
      </c>
      <c r="B293" s="85">
        <f>Mapa_RSD!B271</f>
        <v>0</v>
      </c>
      <c r="C293" s="136" t="e">
        <f>+R_S_Digital[[#This Row],[Código Riesgo]]</f>
        <v>#VALUE!</v>
      </c>
      <c r="D293" s="2"/>
      <c r="E293" s="141" t="str">
        <f>IF(C_S_Digital[[#This Row],[Responsable de ejecutar]]&lt;&gt;"",CONCATENATE(C_S_Digital[[#This Row],[Código riesgo]],"-",IF(C_S_Digital[[#This Row],[Código riesgo]]&lt;&gt;C292,1,RIGHT(E292,1)+1)),"")</f>
        <v/>
      </c>
      <c r="F293" s="147"/>
      <c r="G293" s="147"/>
      <c r="H293" s="147"/>
      <c r="I293" s="141" t="s">
        <v>105</v>
      </c>
      <c r="J293" s="141" t="s">
        <v>65</v>
      </c>
      <c r="K293" s="3"/>
      <c r="L293" s="3"/>
      <c r="M293" s="3"/>
      <c r="N293" s="3"/>
      <c r="O293" s="2"/>
      <c r="Q293" s="148"/>
      <c r="R293" s="148"/>
      <c r="S293" s="137">
        <f>_xlfn.XLOOKUP(CONCATENATE(C_S_Digital[[#This Row],[Momento de ejecución]],C_S_Digital[[#This Row],[Forma de ejecución]]),C_Atributos,C_Peso,"",0)</f>
        <v>0.25</v>
      </c>
      <c r="T293" s="141" t="str">
        <f>IFERROR(_xlfn.XLOOKUP(C_S_Digital[[#This Row],[Momento de ejecución]],C_Momento,C_Efecto,,0),"")</f>
        <v>Impacto</v>
      </c>
      <c r="U293" s="143" t="str">
        <f>IFERROR(IF(C_S_Digital[[#This Row],[Código riesgo]]&lt;&gt;C292,_xlfn.XLOOKUP(C293,R_S_Digital[Código Riesgo],#REF!,,0)*IF(C_S_Digital[[#This Row],[Efecto]]="Probabilidad",1-C_S_Digital[[#This Row],[Peso]],1),IF(C_S_Digital[[#This Row],[Efecto]]="Probabilidad",U292*(1-C_S_Digital[[#This Row],[Peso]]),U292)),"")</f>
        <v/>
      </c>
      <c r="V293" s="144" t="str">
        <f>IFERROR(IF(C_S_Digital[[#This Row],[Código riesgo]]&lt;&gt;C292,_xlfn.XLOOKUP(C_S_Digital[[#This Row],[Código riesgo]],R_S_Digital[Código Riesgo],#REF!,,0)*IF(C_S_Digital[[#This Row],[Efecto]]="Impacto",1-C_S_Digital[[#This Row],[Peso]],1),IF(C_S_Digital[[#This Row],[Efecto]]="Impacto",V292*(1-C_S_Digital[[#This Row],[Peso]]),V292)),"")</f>
        <v/>
      </c>
    </row>
    <row r="294" spans="1:22" x14ac:dyDescent="0.25">
      <c r="A294" s="3">
        <v>289</v>
      </c>
      <c r="B294" s="85">
        <f>Mapa_RSD!B272</f>
        <v>0</v>
      </c>
      <c r="C294" s="136" t="e">
        <f>+R_S_Digital[[#This Row],[Código Riesgo]]</f>
        <v>#VALUE!</v>
      </c>
      <c r="D294" s="2"/>
      <c r="E294" s="141" t="str">
        <f>IF(C_S_Digital[[#This Row],[Responsable de ejecutar]]&lt;&gt;"",CONCATENATE(C_S_Digital[[#This Row],[Código riesgo]],"-",IF(C_S_Digital[[#This Row],[Código riesgo]]&lt;&gt;C293,1,RIGHT(E293,1)+1)),"")</f>
        <v/>
      </c>
      <c r="F294" s="147"/>
      <c r="G294" s="147"/>
      <c r="H294" s="147"/>
      <c r="I294" s="141" t="s">
        <v>105</v>
      </c>
      <c r="J294" s="141" t="s">
        <v>65</v>
      </c>
      <c r="K294" s="3"/>
      <c r="L294" s="3"/>
      <c r="M294" s="3"/>
      <c r="N294" s="3"/>
      <c r="O294" s="2"/>
      <c r="Q294" s="148"/>
      <c r="R294" s="148"/>
      <c r="S294" s="137">
        <f>_xlfn.XLOOKUP(CONCATENATE(C_S_Digital[[#This Row],[Momento de ejecución]],C_S_Digital[[#This Row],[Forma de ejecución]]),C_Atributos,C_Peso,"",0)</f>
        <v>0.25</v>
      </c>
      <c r="T294" s="141" t="str">
        <f>IFERROR(_xlfn.XLOOKUP(C_S_Digital[[#This Row],[Momento de ejecución]],C_Momento,C_Efecto,,0),"")</f>
        <v>Impacto</v>
      </c>
      <c r="U294" s="143" t="str">
        <f>IFERROR(IF(C_S_Digital[[#This Row],[Código riesgo]]&lt;&gt;C293,_xlfn.XLOOKUP(C294,R_S_Digital[Código Riesgo],#REF!,,0)*IF(C_S_Digital[[#This Row],[Efecto]]="Probabilidad",1-C_S_Digital[[#This Row],[Peso]],1),IF(C_S_Digital[[#This Row],[Efecto]]="Probabilidad",U293*(1-C_S_Digital[[#This Row],[Peso]]),U293)),"")</f>
        <v/>
      </c>
      <c r="V294" s="144" t="str">
        <f>IFERROR(IF(C_S_Digital[[#This Row],[Código riesgo]]&lt;&gt;C293,_xlfn.XLOOKUP(C_S_Digital[[#This Row],[Código riesgo]],R_S_Digital[Código Riesgo],#REF!,,0)*IF(C_S_Digital[[#This Row],[Efecto]]="Impacto",1-C_S_Digital[[#This Row],[Peso]],1),IF(C_S_Digital[[#This Row],[Efecto]]="Impacto",V293*(1-C_S_Digital[[#This Row],[Peso]]),V293)),"")</f>
        <v/>
      </c>
    </row>
    <row r="295" spans="1:22" x14ac:dyDescent="0.25">
      <c r="A295" s="3">
        <v>290</v>
      </c>
      <c r="B295" s="85">
        <f>Mapa_RSD!B273</f>
        <v>0</v>
      </c>
      <c r="C295" s="136" t="e">
        <f>+R_S_Digital[[#This Row],[Código Riesgo]]</f>
        <v>#VALUE!</v>
      </c>
      <c r="D295" s="2"/>
      <c r="E295" s="141" t="str">
        <f>IF(C_S_Digital[[#This Row],[Responsable de ejecutar]]&lt;&gt;"",CONCATENATE(C_S_Digital[[#This Row],[Código riesgo]],"-",IF(C_S_Digital[[#This Row],[Código riesgo]]&lt;&gt;C294,1,RIGHT(E294,1)+1)),"")</f>
        <v/>
      </c>
      <c r="F295" s="147"/>
      <c r="G295" s="147"/>
      <c r="H295" s="147"/>
      <c r="I295" s="141" t="s">
        <v>105</v>
      </c>
      <c r="J295" s="141" t="s">
        <v>65</v>
      </c>
      <c r="K295" s="3"/>
      <c r="L295" s="3"/>
      <c r="M295" s="3"/>
      <c r="N295" s="3"/>
      <c r="O295" s="2"/>
      <c r="Q295" s="148"/>
      <c r="R295" s="148"/>
      <c r="S295" s="137">
        <f>_xlfn.XLOOKUP(CONCATENATE(C_S_Digital[[#This Row],[Momento de ejecución]],C_S_Digital[[#This Row],[Forma de ejecución]]),C_Atributos,C_Peso,"",0)</f>
        <v>0.25</v>
      </c>
      <c r="T295" s="141" t="str">
        <f>IFERROR(_xlfn.XLOOKUP(C_S_Digital[[#This Row],[Momento de ejecución]],C_Momento,C_Efecto,,0),"")</f>
        <v>Impacto</v>
      </c>
      <c r="U295" s="143" t="str">
        <f>IFERROR(IF(C_S_Digital[[#This Row],[Código riesgo]]&lt;&gt;C294,_xlfn.XLOOKUP(C295,R_S_Digital[Código Riesgo],#REF!,,0)*IF(C_S_Digital[[#This Row],[Efecto]]="Probabilidad",1-C_S_Digital[[#This Row],[Peso]],1),IF(C_S_Digital[[#This Row],[Efecto]]="Probabilidad",U294*(1-C_S_Digital[[#This Row],[Peso]]),U294)),"")</f>
        <v/>
      </c>
      <c r="V295" s="144" t="str">
        <f>IFERROR(IF(C_S_Digital[[#This Row],[Código riesgo]]&lt;&gt;C294,_xlfn.XLOOKUP(C_S_Digital[[#This Row],[Código riesgo]],R_S_Digital[Código Riesgo],#REF!,,0)*IF(C_S_Digital[[#This Row],[Efecto]]="Impacto",1-C_S_Digital[[#This Row],[Peso]],1),IF(C_S_Digital[[#This Row],[Efecto]]="Impacto",V294*(1-C_S_Digital[[#This Row],[Peso]]),V294)),"")</f>
        <v/>
      </c>
    </row>
    <row r="296" spans="1:22" x14ac:dyDescent="0.25">
      <c r="A296" s="3">
        <v>291</v>
      </c>
      <c r="B296" s="85">
        <f>Mapa_RSD!B274</f>
        <v>0</v>
      </c>
      <c r="C296" s="136" t="e">
        <f>+R_S_Digital[[#This Row],[Código Riesgo]]</f>
        <v>#VALUE!</v>
      </c>
      <c r="D296" s="2"/>
      <c r="E296" s="141" t="str">
        <f>IF(C_S_Digital[[#This Row],[Responsable de ejecutar]]&lt;&gt;"",CONCATENATE(C_S_Digital[[#This Row],[Código riesgo]],"-",IF(C_S_Digital[[#This Row],[Código riesgo]]&lt;&gt;C295,1,RIGHT(E295,1)+1)),"")</f>
        <v/>
      </c>
      <c r="F296" s="147"/>
      <c r="G296" s="147"/>
      <c r="H296" s="147"/>
      <c r="I296" s="141" t="s">
        <v>105</v>
      </c>
      <c r="J296" s="141" t="s">
        <v>65</v>
      </c>
      <c r="K296" s="3"/>
      <c r="L296" s="3"/>
      <c r="M296" s="3"/>
      <c r="N296" s="3"/>
      <c r="O296" s="2"/>
      <c r="Q296" s="148"/>
      <c r="R296" s="148"/>
      <c r="S296" s="137">
        <f>_xlfn.XLOOKUP(CONCATENATE(C_S_Digital[[#This Row],[Momento de ejecución]],C_S_Digital[[#This Row],[Forma de ejecución]]),C_Atributos,C_Peso,"",0)</f>
        <v>0.25</v>
      </c>
      <c r="T296" s="141" t="str">
        <f>IFERROR(_xlfn.XLOOKUP(C_S_Digital[[#This Row],[Momento de ejecución]],C_Momento,C_Efecto,,0),"")</f>
        <v>Impacto</v>
      </c>
      <c r="U296" s="143" t="str">
        <f>IFERROR(IF(C_S_Digital[[#This Row],[Código riesgo]]&lt;&gt;C295,_xlfn.XLOOKUP(C296,R_S_Digital[Código Riesgo],#REF!,,0)*IF(C_S_Digital[[#This Row],[Efecto]]="Probabilidad",1-C_S_Digital[[#This Row],[Peso]],1),IF(C_S_Digital[[#This Row],[Efecto]]="Probabilidad",U295*(1-C_S_Digital[[#This Row],[Peso]]),U295)),"")</f>
        <v/>
      </c>
      <c r="V296" s="144" t="str">
        <f>IFERROR(IF(C_S_Digital[[#This Row],[Código riesgo]]&lt;&gt;C295,_xlfn.XLOOKUP(C_S_Digital[[#This Row],[Código riesgo]],R_S_Digital[Código Riesgo],#REF!,,0)*IF(C_S_Digital[[#This Row],[Efecto]]="Impacto",1-C_S_Digital[[#This Row],[Peso]],1),IF(C_S_Digital[[#This Row],[Efecto]]="Impacto",V295*(1-C_S_Digital[[#This Row],[Peso]]),V295)),"")</f>
        <v/>
      </c>
    </row>
    <row r="297" spans="1:22" x14ac:dyDescent="0.25">
      <c r="A297" s="3">
        <v>292</v>
      </c>
      <c r="B297" s="85">
        <f>Mapa_RSD!B275</f>
        <v>0</v>
      </c>
      <c r="C297" s="136" t="e">
        <f>+R_S_Digital[[#This Row],[Código Riesgo]]</f>
        <v>#VALUE!</v>
      </c>
      <c r="D297" s="2"/>
      <c r="E297" s="141" t="str">
        <f>IF(C_S_Digital[[#This Row],[Responsable de ejecutar]]&lt;&gt;"",CONCATENATE(C_S_Digital[[#This Row],[Código riesgo]],"-",IF(C_S_Digital[[#This Row],[Código riesgo]]&lt;&gt;C296,1,RIGHT(E296,1)+1)),"")</f>
        <v/>
      </c>
      <c r="F297" s="147"/>
      <c r="G297" s="147"/>
      <c r="H297" s="147"/>
      <c r="I297" s="141" t="s">
        <v>105</v>
      </c>
      <c r="J297" s="141" t="s">
        <v>65</v>
      </c>
      <c r="K297" s="3"/>
      <c r="L297" s="3"/>
      <c r="M297" s="3"/>
      <c r="N297" s="3"/>
      <c r="O297" s="2"/>
      <c r="Q297" s="148"/>
      <c r="R297" s="148"/>
      <c r="S297" s="137">
        <f>_xlfn.XLOOKUP(CONCATENATE(C_S_Digital[[#This Row],[Momento de ejecución]],C_S_Digital[[#This Row],[Forma de ejecución]]),C_Atributos,C_Peso,"",0)</f>
        <v>0.25</v>
      </c>
      <c r="T297" s="141" t="str">
        <f>IFERROR(_xlfn.XLOOKUP(C_S_Digital[[#This Row],[Momento de ejecución]],C_Momento,C_Efecto,,0),"")</f>
        <v>Impacto</v>
      </c>
      <c r="U297" s="143" t="str">
        <f>IFERROR(IF(C_S_Digital[[#This Row],[Código riesgo]]&lt;&gt;C296,_xlfn.XLOOKUP(C297,R_S_Digital[Código Riesgo],#REF!,,0)*IF(C_S_Digital[[#This Row],[Efecto]]="Probabilidad",1-C_S_Digital[[#This Row],[Peso]],1),IF(C_S_Digital[[#This Row],[Efecto]]="Probabilidad",U296*(1-C_S_Digital[[#This Row],[Peso]]),U296)),"")</f>
        <v/>
      </c>
      <c r="V297" s="144" t="str">
        <f>IFERROR(IF(C_S_Digital[[#This Row],[Código riesgo]]&lt;&gt;C296,_xlfn.XLOOKUP(C_S_Digital[[#This Row],[Código riesgo]],R_S_Digital[Código Riesgo],#REF!,,0)*IF(C_S_Digital[[#This Row],[Efecto]]="Impacto",1-C_S_Digital[[#This Row],[Peso]],1),IF(C_S_Digital[[#This Row],[Efecto]]="Impacto",V296*(1-C_S_Digital[[#This Row],[Peso]]),V296)),"")</f>
        <v/>
      </c>
    </row>
    <row r="298" spans="1:22" x14ac:dyDescent="0.25">
      <c r="A298" s="3">
        <v>293</v>
      </c>
      <c r="B298" s="85">
        <f>Mapa_RSD!B276</f>
        <v>0</v>
      </c>
      <c r="C298" s="136" t="e">
        <f>+R_S_Digital[[#This Row],[Código Riesgo]]</f>
        <v>#VALUE!</v>
      </c>
      <c r="D298" s="2"/>
      <c r="E298" s="141" t="str">
        <f>IF(C_S_Digital[[#This Row],[Responsable de ejecutar]]&lt;&gt;"",CONCATENATE(C_S_Digital[[#This Row],[Código riesgo]],"-",IF(C_S_Digital[[#This Row],[Código riesgo]]&lt;&gt;C297,1,RIGHT(E297,1)+1)),"")</f>
        <v/>
      </c>
      <c r="F298" s="147"/>
      <c r="G298" s="147"/>
      <c r="H298" s="147"/>
      <c r="I298" s="141" t="s">
        <v>105</v>
      </c>
      <c r="J298" s="141" t="s">
        <v>65</v>
      </c>
      <c r="K298" s="3"/>
      <c r="L298" s="3"/>
      <c r="M298" s="3"/>
      <c r="N298" s="3"/>
      <c r="O298" s="2"/>
      <c r="Q298" s="148"/>
      <c r="R298" s="148"/>
      <c r="S298" s="137">
        <f>_xlfn.XLOOKUP(CONCATENATE(C_S_Digital[[#This Row],[Momento de ejecución]],C_S_Digital[[#This Row],[Forma de ejecución]]),C_Atributos,C_Peso,"",0)</f>
        <v>0.25</v>
      </c>
      <c r="T298" s="141" t="str">
        <f>IFERROR(_xlfn.XLOOKUP(C_S_Digital[[#This Row],[Momento de ejecución]],C_Momento,C_Efecto,,0),"")</f>
        <v>Impacto</v>
      </c>
      <c r="U298" s="143" t="str">
        <f>IFERROR(IF(C_S_Digital[[#This Row],[Código riesgo]]&lt;&gt;C297,_xlfn.XLOOKUP(C298,R_S_Digital[Código Riesgo],#REF!,,0)*IF(C_S_Digital[[#This Row],[Efecto]]="Probabilidad",1-C_S_Digital[[#This Row],[Peso]],1),IF(C_S_Digital[[#This Row],[Efecto]]="Probabilidad",U297*(1-C_S_Digital[[#This Row],[Peso]]),U297)),"")</f>
        <v/>
      </c>
      <c r="V298" s="144" t="str">
        <f>IFERROR(IF(C_S_Digital[[#This Row],[Código riesgo]]&lt;&gt;C297,_xlfn.XLOOKUP(C_S_Digital[[#This Row],[Código riesgo]],R_S_Digital[Código Riesgo],#REF!,,0)*IF(C_S_Digital[[#This Row],[Efecto]]="Impacto",1-C_S_Digital[[#This Row],[Peso]],1),IF(C_S_Digital[[#This Row],[Efecto]]="Impacto",V297*(1-C_S_Digital[[#This Row],[Peso]]),V297)),"")</f>
        <v/>
      </c>
    </row>
    <row r="299" spans="1:22" x14ac:dyDescent="0.25">
      <c r="A299" s="3">
        <v>294</v>
      </c>
      <c r="B299" s="85">
        <f>Mapa_RSD!B277</f>
        <v>0</v>
      </c>
      <c r="C299" s="136" t="e">
        <f>+R_S_Digital[[#This Row],[Código Riesgo]]</f>
        <v>#VALUE!</v>
      </c>
      <c r="D299" s="2"/>
      <c r="E299" s="141" t="str">
        <f>IF(C_S_Digital[[#This Row],[Responsable de ejecutar]]&lt;&gt;"",CONCATENATE(C_S_Digital[[#This Row],[Código riesgo]],"-",IF(C_S_Digital[[#This Row],[Código riesgo]]&lt;&gt;C298,1,RIGHT(E298,1)+1)),"")</f>
        <v/>
      </c>
      <c r="F299" s="147"/>
      <c r="G299" s="147"/>
      <c r="H299" s="147"/>
      <c r="I299" s="141" t="s">
        <v>105</v>
      </c>
      <c r="J299" s="141" t="s">
        <v>65</v>
      </c>
      <c r="K299" s="3"/>
      <c r="L299" s="3"/>
      <c r="M299" s="3"/>
      <c r="N299" s="3"/>
      <c r="O299" s="2"/>
      <c r="Q299" s="148"/>
      <c r="R299" s="148"/>
      <c r="S299" s="137">
        <f>_xlfn.XLOOKUP(CONCATENATE(C_S_Digital[[#This Row],[Momento de ejecución]],C_S_Digital[[#This Row],[Forma de ejecución]]),C_Atributos,C_Peso,"",0)</f>
        <v>0.25</v>
      </c>
      <c r="T299" s="141" t="str">
        <f>IFERROR(_xlfn.XLOOKUP(C_S_Digital[[#This Row],[Momento de ejecución]],C_Momento,C_Efecto,,0),"")</f>
        <v>Impacto</v>
      </c>
      <c r="U299" s="143" t="str">
        <f>IFERROR(IF(C_S_Digital[[#This Row],[Código riesgo]]&lt;&gt;C298,_xlfn.XLOOKUP(C299,R_S_Digital[Código Riesgo],#REF!,,0)*IF(C_S_Digital[[#This Row],[Efecto]]="Probabilidad",1-C_S_Digital[[#This Row],[Peso]],1),IF(C_S_Digital[[#This Row],[Efecto]]="Probabilidad",U298*(1-C_S_Digital[[#This Row],[Peso]]),U298)),"")</f>
        <v/>
      </c>
      <c r="V299" s="144" t="str">
        <f>IFERROR(IF(C_S_Digital[[#This Row],[Código riesgo]]&lt;&gt;C298,_xlfn.XLOOKUP(C_S_Digital[[#This Row],[Código riesgo]],R_S_Digital[Código Riesgo],#REF!,,0)*IF(C_S_Digital[[#This Row],[Efecto]]="Impacto",1-C_S_Digital[[#This Row],[Peso]],1),IF(C_S_Digital[[#This Row],[Efecto]]="Impacto",V298*(1-C_S_Digital[[#This Row],[Peso]]),V298)),"")</f>
        <v/>
      </c>
    </row>
    <row r="300" spans="1:22" x14ac:dyDescent="0.25">
      <c r="A300" s="3">
        <v>295</v>
      </c>
      <c r="B300" s="85">
        <f>Mapa_RSD!B278</f>
        <v>0</v>
      </c>
      <c r="C300" s="136" t="e">
        <f>+R_S_Digital[[#This Row],[Código Riesgo]]</f>
        <v>#VALUE!</v>
      </c>
      <c r="D300" s="2"/>
      <c r="E300" s="141" t="str">
        <f>IF(C_S_Digital[[#This Row],[Responsable de ejecutar]]&lt;&gt;"",CONCATENATE(C_S_Digital[[#This Row],[Código riesgo]],"-",IF(C_S_Digital[[#This Row],[Código riesgo]]&lt;&gt;C299,1,RIGHT(E299,1)+1)),"")</f>
        <v/>
      </c>
      <c r="F300" s="147"/>
      <c r="G300" s="147"/>
      <c r="H300" s="147"/>
      <c r="I300" s="141" t="s">
        <v>105</v>
      </c>
      <c r="J300" s="141" t="s">
        <v>65</v>
      </c>
      <c r="K300" s="3"/>
      <c r="L300" s="3"/>
      <c r="M300" s="3"/>
      <c r="N300" s="3"/>
      <c r="O300" s="2"/>
      <c r="Q300" s="148"/>
      <c r="R300" s="148"/>
      <c r="S300" s="137">
        <f>_xlfn.XLOOKUP(CONCATENATE(C_S_Digital[[#This Row],[Momento de ejecución]],C_S_Digital[[#This Row],[Forma de ejecución]]),C_Atributos,C_Peso,"",0)</f>
        <v>0.25</v>
      </c>
      <c r="T300" s="141" t="str">
        <f>IFERROR(_xlfn.XLOOKUP(C_S_Digital[[#This Row],[Momento de ejecución]],C_Momento,C_Efecto,,0),"")</f>
        <v>Impacto</v>
      </c>
      <c r="U300" s="143" t="str">
        <f>IFERROR(IF(C_S_Digital[[#This Row],[Código riesgo]]&lt;&gt;C299,_xlfn.XLOOKUP(C300,R_S_Digital[Código Riesgo],#REF!,,0)*IF(C_S_Digital[[#This Row],[Efecto]]="Probabilidad",1-C_S_Digital[[#This Row],[Peso]],1),IF(C_S_Digital[[#This Row],[Efecto]]="Probabilidad",U299*(1-C_S_Digital[[#This Row],[Peso]]),U299)),"")</f>
        <v/>
      </c>
      <c r="V300" s="144" t="str">
        <f>IFERROR(IF(C_S_Digital[[#This Row],[Código riesgo]]&lt;&gt;C299,_xlfn.XLOOKUP(C_S_Digital[[#This Row],[Código riesgo]],R_S_Digital[Código Riesgo],#REF!,,0)*IF(C_S_Digital[[#This Row],[Efecto]]="Impacto",1-C_S_Digital[[#This Row],[Peso]],1),IF(C_S_Digital[[#This Row],[Efecto]]="Impacto",V299*(1-C_S_Digital[[#This Row],[Peso]]),V299)),"")</f>
        <v/>
      </c>
    </row>
    <row r="301" spans="1:22" x14ac:dyDescent="0.25">
      <c r="A301" s="3">
        <v>296</v>
      </c>
      <c r="B301" s="85">
        <f>Mapa_RSD!B279</f>
        <v>0</v>
      </c>
      <c r="C301" s="136" t="e">
        <f>+R_S_Digital[[#This Row],[Código Riesgo]]</f>
        <v>#VALUE!</v>
      </c>
      <c r="D301" s="2"/>
      <c r="E301" s="141" t="str">
        <f>IF(C_S_Digital[[#This Row],[Responsable de ejecutar]]&lt;&gt;"",CONCATENATE(C_S_Digital[[#This Row],[Código riesgo]],"-",IF(C_S_Digital[[#This Row],[Código riesgo]]&lt;&gt;C300,1,RIGHT(E300,1)+1)),"")</f>
        <v/>
      </c>
      <c r="F301" s="147"/>
      <c r="G301" s="147"/>
      <c r="H301" s="147"/>
      <c r="I301" s="141" t="s">
        <v>105</v>
      </c>
      <c r="J301" s="141" t="s">
        <v>65</v>
      </c>
      <c r="K301" s="3"/>
      <c r="L301" s="3"/>
      <c r="M301" s="3"/>
      <c r="N301" s="3"/>
      <c r="O301" s="2"/>
      <c r="Q301" s="148"/>
      <c r="R301" s="148"/>
      <c r="S301" s="137">
        <f>_xlfn.XLOOKUP(CONCATENATE(C_S_Digital[[#This Row],[Momento de ejecución]],C_S_Digital[[#This Row],[Forma de ejecución]]),C_Atributos,C_Peso,"",0)</f>
        <v>0.25</v>
      </c>
      <c r="T301" s="141" t="str">
        <f>IFERROR(_xlfn.XLOOKUP(C_S_Digital[[#This Row],[Momento de ejecución]],C_Momento,C_Efecto,,0),"")</f>
        <v>Impacto</v>
      </c>
      <c r="U301" s="143" t="str">
        <f>IFERROR(IF(C_S_Digital[[#This Row],[Código riesgo]]&lt;&gt;C300,_xlfn.XLOOKUP(C301,R_S_Digital[Código Riesgo],#REF!,,0)*IF(C_S_Digital[[#This Row],[Efecto]]="Probabilidad",1-C_S_Digital[[#This Row],[Peso]],1),IF(C_S_Digital[[#This Row],[Efecto]]="Probabilidad",U300*(1-C_S_Digital[[#This Row],[Peso]]),U300)),"")</f>
        <v/>
      </c>
      <c r="V301" s="144" t="str">
        <f>IFERROR(IF(C_S_Digital[[#This Row],[Código riesgo]]&lt;&gt;C300,_xlfn.XLOOKUP(C_S_Digital[[#This Row],[Código riesgo]],R_S_Digital[Código Riesgo],#REF!,,0)*IF(C_S_Digital[[#This Row],[Efecto]]="Impacto",1-C_S_Digital[[#This Row],[Peso]],1),IF(C_S_Digital[[#This Row],[Efecto]]="Impacto",V300*(1-C_S_Digital[[#This Row],[Peso]]),V300)),"")</f>
        <v/>
      </c>
    </row>
    <row r="302" spans="1:22" x14ac:dyDescent="0.25">
      <c r="A302" s="3">
        <v>297</v>
      </c>
      <c r="B302" s="85">
        <f>Mapa_RSD!B280</f>
        <v>0</v>
      </c>
      <c r="C302" s="136" t="e">
        <f>+R_S_Digital[[#This Row],[Código Riesgo]]</f>
        <v>#VALUE!</v>
      </c>
      <c r="D302" s="2"/>
      <c r="E302" s="141" t="str">
        <f>IF(C_S_Digital[[#This Row],[Responsable de ejecutar]]&lt;&gt;"",CONCATENATE(C_S_Digital[[#This Row],[Código riesgo]],"-",IF(C_S_Digital[[#This Row],[Código riesgo]]&lt;&gt;C301,1,RIGHT(E301,1)+1)),"")</f>
        <v/>
      </c>
      <c r="F302" s="147"/>
      <c r="G302" s="147"/>
      <c r="H302" s="147"/>
      <c r="I302" s="141" t="s">
        <v>105</v>
      </c>
      <c r="J302" s="141" t="s">
        <v>65</v>
      </c>
      <c r="K302" s="3"/>
      <c r="L302" s="3"/>
      <c r="M302" s="3"/>
      <c r="N302" s="3"/>
      <c r="O302" s="2"/>
      <c r="Q302" s="148"/>
      <c r="R302" s="148"/>
      <c r="S302" s="137">
        <f>_xlfn.XLOOKUP(CONCATENATE(C_S_Digital[[#This Row],[Momento de ejecución]],C_S_Digital[[#This Row],[Forma de ejecución]]),C_Atributos,C_Peso,"",0)</f>
        <v>0.25</v>
      </c>
      <c r="T302" s="141" t="str">
        <f>IFERROR(_xlfn.XLOOKUP(C_S_Digital[[#This Row],[Momento de ejecución]],C_Momento,C_Efecto,,0),"")</f>
        <v>Impacto</v>
      </c>
      <c r="U302" s="143" t="str">
        <f>IFERROR(IF(C_S_Digital[[#This Row],[Código riesgo]]&lt;&gt;C301,_xlfn.XLOOKUP(C302,R_S_Digital[Código Riesgo],#REF!,,0)*IF(C_S_Digital[[#This Row],[Efecto]]="Probabilidad",1-C_S_Digital[[#This Row],[Peso]],1),IF(C_S_Digital[[#This Row],[Efecto]]="Probabilidad",U301*(1-C_S_Digital[[#This Row],[Peso]]),U301)),"")</f>
        <v/>
      </c>
      <c r="V302" s="144" t="str">
        <f>IFERROR(IF(C_S_Digital[[#This Row],[Código riesgo]]&lt;&gt;C301,_xlfn.XLOOKUP(C_S_Digital[[#This Row],[Código riesgo]],R_S_Digital[Código Riesgo],#REF!,,0)*IF(C_S_Digital[[#This Row],[Efecto]]="Impacto",1-C_S_Digital[[#This Row],[Peso]],1),IF(C_S_Digital[[#This Row],[Efecto]]="Impacto",V301*(1-C_S_Digital[[#This Row],[Peso]]),V301)),"")</f>
        <v/>
      </c>
    </row>
    <row r="303" spans="1:22" x14ac:dyDescent="0.25">
      <c r="A303" s="3">
        <v>298</v>
      </c>
      <c r="B303" s="85">
        <f>Mapa_RSD!B281</f>
        <v>0</v>
      </c>
      <c r="C303" s="136" t="e">
        <f>+R_S_Digital[[#This Row],[Código Riesgo]]</f>
        <v>#VALUE!</v>
      </c>
      <c r="D303" s="2"/>
      <c r="E303" s="141" t="str">
        <f>IF(C_S_Digital[[#This Row],[Responsable de ejecutar]]&lt;&gt;"",CONCATENATE(C_S_Digital[[#This Row],[Código riesgo]],"-",IF(C_S_Digital[[#This Row],[Código riesgo]]&lt;&gt;C302,1,RIGHT(E302,1)+1)),"")</f>
        <v/>
      </c>
      <c r="F303" s="147"/>
      <c r="G303" s="147"/>
      <c r="H303" s="147"/>
      <c r="I303" s="141" t="s">
        <v>105</v>
      </c>
      <c r="J303" s="141" t="s">
        <v>65</v>
      </c>
      <c r="K303" s="3"/>
      <c r="L303" s="3"/>
      <c r="M303" s="3"/>
      <c r="N303" s="3"/>
      <c r="O303" s="2"/>
      <c r="Q303" s="148"/>
      <c r="R303" s="148"/>
      <c r="S303" s="137">
        <f>_xlfn.XLOOKUP(CONCATENATE(C_S_Digital[[#This Row],[Momento de ejecución]],C_S_Digital[[#This Row],[Forma de ejecución]]),C_Atributos,C_Peso,"",0)</f>
        <v>0.25</v>
      </c>
      <c r="T303" s="141" t="str">
        <f>IFERROR(_xlfn.XLOOKUP(C_S_Digital[[#This Row],[Momento de ejecución]],C_Momento,C_Efecto,,0),"")</f>
        <v>Impacto</v>
      </c>
      <c r="U303" s="143" t="str">
        <f>IFERROR(IF(C_S_Digital[[#This Row],[Código riesgo]]&lt;&gt;C302,_xlfn.XLOOKUP(C303,R_S_Digital[Código Riesgo],#REF!,,0)*IF(C_S_Digital[[#This Row],[Efecto]]="Probabilidad",1-C_S_Digital[[#This Row],[Peso]],1),IF(C_S_Digital[[#This Row],[Efecto]]="Probabilidad",U302*(1-C_S_Digital[[#This Row],[Peso]]),U302)),"")</f>
        <v/>
      </c>
      <c r="V303" s="144" t="str">
        <f>IFERROR(IF(C_S_Digital[[#This Row],[Código riesgo]]&lt;&gt;C302,_xlfn.XLOOKUP(C_S_Digital[[#This Row],[Código riesgo]],R_S_Digital[Código Riesgo],#REF!,,0)*IF(C_S_Digital[[#This Row],[Efecto]]="Impacto",1-C_S_Digital[[#This Row],[Peso]],1),IF(C_S_Digital[[#This Row],[Efecto]]="Impacto",V302*(1-C_S_Digital[[#This Row],[Peso]]),V302)),"")</f>
        <v/>
      </c>
    </row>
    <row r="304" spans="1:22" x14ac:dyDescent="0.25">
      <c r="A304" s="3">
        <v>299</v>
      </c>
      <c r="B304" s="85">
        <f>Mapa_RSD!B282</f>
        <v>0</v>
      </c>
      <c r="C304" s="136" t="e">
        <f>+R_S_Digital[[#This Row],[Código Riesgo]]</f>
        <v>#VALUE!</v>
      </c>
      <c r="D304" s="2"/>
      <c r="E304" s="141" t="str">
        <f>IF(C_S_Digital[[#This Row],[Responsable de ejecutar]]&lt;&gt;"",CONCATENATE(C_S_Digital[[#This Row],[Código riesgo]],"-",IF(C_S_Digital[[#This Row],[Código riesgo]]&lt;&gt;C303,1,RIGHT(E303,1)+1)),"")</f>
        <v/>
      </c>
      <c r="F304" s="147"/>
      <c r="G304" s="147"/>
      <c r="H304" s="147"/>
      <c r="I304" s="141" t="s">
        <v>105</v>
      </c>
      <c r="J304" s="141" t="s">
        <v>65</v>
      </c>
      <c r="K304" s="3"/>
      <c r="L304" s="3"/>
      <c r="M304" s="3"/>
      <c r="N304" s="3"/>
      <c r="O304" s="2"/>
      <c r="Q304" s="148"/>
      <c r="R304" s="148"/>
      <c r="S304" s="137">
        <f>_xlfn.XLOOKUP(CONCATENATE(C_S_Digital[[#This Row],[Momento de ejecución]],C_S_Digital[[#This Row],[Forma de ejecución]]),C_Atributos,C_Peso,"",0)</f>
        <v>0.25</v>
      </c>
      <c r="T304" s="141" t="str">
        <f>IFERROR(_xlfn.XLOOKUP(C_S_Digital[[#This Row],[Momento de ejecución]],C_Momento,C_Efecto,,0),"")</f>
        <v>Impacto</v>
      </c>
      <c r="U304" s="143" t="str">
        <f>IFERROR(IF(C_S_Digital[[#This Row],[Código riesgo]]&lt;&gt;C303,_xlfn.XLOOKUP(C304,R_S_Digital[Código Riesgo],#REF!,,0)*IF(C_S_Digital[[#This Row],[Efecto]]="Probabilidad",1-C_S_Digital[[#This Row],[Peso]],1),IF(C_S_Digital[[#This Row],[Efecto]]="Probabilidad",U303*(1-C_S_Digital[[#This Row],[Peso]]),U303)),"")</f>
        <v/>
      </c>
      <c r="V304" s="144" t="str">
        <f>IFERROR(IF(C_S_Digital[[#This Row],[Código riesgo]]&lt;&gt;C303,_xlfn.XLOOKUP(C_S_Digital[[#This Row],[Código riesgo]],R_S_Digital[Código Riesgo],#REF!,,0)*IF(C_S_Digital[[#This Row],[Efecto]]="Impacto",1-C_S_Digital[[#This Row],[Peso]],1),IF(C_S_Digital[[#This Row],[Efecto]]="Impacto",V303*(1-C_S_Digital[[#This Row],[Peso]]),V303)),"")</f>
        <v/>
      </c>
    </row>
    <row r="305" spans="1:22" x14ac:dyDescent="0.25">
      <c r="A305" s="3">
        <v>300</v>
      </c>
      <c r="B305" s="85">
        <f>Mapa_RSD!B283</f>
        <v>0</v>
      </c>
      <c r="C305" s="136" t="e">
        <f>+R_S_Digital[[#This Row],[Código Riesgo]]</f>
        <v>#VALUE!</v>
      </c>
      <c r="D305" s="2"/>
      <c r="E305" s="141" t="str">
        <f>IF(C_S_Digital[[#This Row],[Responsable de ejecutar]]&lt;&gt;"",CONCATENATE(C_S_Digital[[#This Row],[Código riesgo]],"-",IF(C_S_Digital[[#This Row],[Código riesgo]]&lt;&gt;C304,1,RIGHT(E304,1)+1)),"")</f>
        <v/>
      </c>
      <c r="F305" s="147"/>
      <c r="G305" s="147"/>
      <c r="H305" s="147"/>
      <c r="I305" s="141" t="s">
        <v>105</v>
      </c>
      <c r="J305" s="141" t="s">
        <v>65</v>
      </c>
      <c r="K305" s="3"/>
      <c r="L305" s="3"/>
      <c r="M305" s="3"/>
      <c r="N305" s="3"/>
      <c r="O305" s="2"/>
      <c r="Q305" s="148"/>
      <c r="R305" s="148"/>
      <c r="S305" s="137">
        <f>_xlfn.XLOOKUP(CONCATENATE(C_S_Digital[[#This Row],[Momento de ejecución]],C_S_Digital[[#This Row],[Forma de ejecución]]),C_Atributos,C_Peso,"",0)</f>
        <v>0.25</v>
      </c>
      <c r="T305" s="141" t="str">
        <f>IFERROR(_xlfn.XLOOKUP(C_S_Digital[[#This Row],[Momento de ejecución]],C_Momento,C_Efecto,,0),"")</f>
        <v>Impacto</v>
      </c>
      <c r="U305" s="143" t="str">
        <f>IFERROR(IF(C_S_Digital[[#This Row],[Código riesgo]]&lt;&gt;C304,_xlfn.XLOOKUP(C305,R_S_Digital[Código Riesgo],#REF!,,0)*IF(C_S_Digital[[#This Row],[Efecto]]="Probabilidad",1-C_S_Digital[[#This Row],[Peso]],1),IF(C_S_Digital[[#This Row],[Efecto]]="Probabilidad",U304*(1-C_S_Digital[[#This Row],[Peso]]),U304)),"")</f>
        <v/>
      </c>
      <c r="V305" s="144" t="str">
        <f>IFERROR(IF(C_S_Digital[[#This Row],[Código riesgo]]&lt;&gt;C304,_xlfn.XLOOKUP(C_S_Digital[[#This Row],[Código riesgo]],R_S_Digital[Código Riesgo],#REF!,,0)*IF(C_S_Digital[[#This Row],[Efecto]]="Impacto",1-C_S_Digital[[#This Row],[Peso]],1),IF(C_S_Digital[[#This Row],[Efecto]]="Impacto",V304*(1-C_S_Digital[[#This Row],[Peso]]),V304)),"")</f>
        <v/>
      </c>
    </row>
    <row r="306" spans="1:22" x14ac:dyDescent="0.25">
      <c r="A306" s="3">
        <v>301</v>
      </c>
      <c r="B306" s="85">
        <f>Mapa_RSD!B284</f>
        <v>0</v>
      </c>
      <c r="C306" s="136" t="e">
        <f>+R_S_Digital[[#This Row],[Código Riesgo]]</f>
        <v>#VALUE!</v>
      </c>
      <c r="D306" s="2"/>
      <c r="E306" s="141" t="str">
        <f>IF(C_S_Digital[[#This Row],[Responsable de ejecutar]]&lt;&gt;"",CONCATENATE(C_S_Digital[[#This Row],[Código riesgo]],"-",IF(C_S_Digital[[#This Row],[Código riesgo]]&lt;&gt;C305,1,RIGHT(E305,1)+1)),"")</f>
        <v/>
      </c>
      <c r="F306" s="147"/>
      <c r="G306" s="147"/>
      <c r="H306" s="147"/>
      <c r="I306" s="141" t="s">
        <v>105</v>
      </c>
      <c r="J306" s="141" t="s">
        <v>65</v>
      </c>
      <c r="K306" s="3"/>
      <c r="L306" s="3"/>
      <c r="M306" s="3"/>
      <c r="N306" s="3"/>
      <c r="O306" s="2"/>
      <c r="Q306" s="148"/>
      <c r="R306" s="148"/>
      <c r="S306" s="137">
        <f>_xlfn.XLOOKUP(CONCATENATE(C_S_Digital[[#This Row],[Momento de ejecución]],C_S_Digital[[#This Row],[Forma de ejecución]]),C_Atributos,C_Peso,"",0)</f>
        <v>0.25</v>
      </c>
      <c r="T306" s="141" t="str">
        <f>IFERROR(_xlfn.XLOOKUP(C_S_Digital[[#This Row],[Momento de ejecución]],C_Momento,C_Efecto,,0),"")</f>
        <v>Impacto</v>
      </c>
      <c r="U306" s="143" t="str">
        <f>IFERROR(IF(C_S_Digital[[#This Row],[Código riesgo]]&lt;&gt;C305,_xlfn.XLOOKUP(C306,R_S_Digital[Código Riesgo],#REF!,,0)*IF(C_S_Digital[[#This Row],[Efecto]]="Probabilidad",1-C_S_Digital[[#This Row],[Peso]],1),IF(C_S_Digital[[#This Row],[Efecto]]="Probabilidad",U305*(1-C_S_Digital[[#This Row],[Peso]]),U305)),"")</f>
        <v/>
      </c>
      <c r="V306" s="144" t="str">
        <f>IFERROR(IF(C_S_Digital[[#This Row],[Código riesgo]]&lt;&gt;C305,_xlfn.XLOOKUP(C_S_Digital[[#This Row],[Código riesgo]],R_S_Digital[Código Riesgo],#REF!,,0)*IF(C_S_Digital[[#This Row],[Efecto]]="Impacto",1-C_S_Digital[[#This Row],[Peso]],1),IF(C_S_Digital[[#This Row],[Efecto]]="Impacto",V305*(1-C_S_Digital[[#This Row],[Peso]]),V305)),"")</f>
        <v/>
      </c>
    </row>
    <row r="307" spans="1:22" x14ac:dyDescent="0.25">
      <c r="A307" s="3">
        <v>302</v>
      </c>
      <c r="B307" s="85">
        <f>Mapa_RSD!B285</f>
        <v>0</v>
      </c>
      <c r="C307" s="136" t="e">
        <f>+R_S_Digital[[#This Row],[Código Riesgo]]</f>
        <v>#VALUE!</v>
      </c>
      <c r="D307" s="2"/>
      <c r="E307" s="141" t="str">
        <f>IF(C_S_Digital[[#This Row],[Responsable de ejecutar]]&lt;&gt;"",CONCATENATE(C_S_Digital[[#This Row],[Código riesgo]],"-",IF(C_S_Digital[[#This Row],[Código riesgo]]&lt;&gt;C306,1,RIGHT(E306,1)+1)),"")</f>
        <v/>
      </c>
      <c r="F307" s="147"/>
      <c r="G307" s="147"/>
      <c r="H307" s="147"/>
      <c r="I307" s="141" t="s">
        <v>105</v>
      </c>
      <c r="J307" s="141" t="s">
        <v>65</v>
      </c>
      <c r="K307" s="3"/>
      <c r="L307" s="3"/>
      <c r="M307" s="3"/>
      <c r="N307" s="3"/>
      <c r="O307" s="2"/>
      <c r="Q307" s="148"/>
      <c r="R307" s="148"/>
      <c r="S307" s="137">
        <f>_xlfn.XLOOKUP(CONCATENATE(C_S_Digital[[#This Row],[Momento de ejecución]],C_S_Digital[[#This Row],[Forma de ejecución]]),C_Atributos,C_Peso,"",0)</f>
        <v>0.25</v>
      </c>
      <c r="T307" s="141" t="str">
        <f>IFERROR(_xlfn.XLOOKUP(C_S_Digital[[#This Row],[Momento de ejecución]],C_Momento,C_Efecto,,0),"")</f>
        <v>Impacto</v>
      </c>
      <c r="U307" s="143" t="str">
        <f>IFERROR(IF(C_S_Digital[[#This Row],[Código riesgo]]&lt;&gt;C306,_xlfn.XLOOKUP(C307,R_S_Digital[Código Riesgo],#REF!,,0)*IF(C_S_Digital[[#This Row],[Efecto]]="Probabilidad",1-C_S_Digital[[#This Row],[Peso]],1),IF(C_S_Digital[[#This Row],[Efecto]]="Probabilidad",U306*(1-C_S_Digital[[#This Row],[Peso]]),U306)),"")</f>
        <v/>
      </c>
      <c r="V307" s="144" t="str">
        <f>IFERROR(IF(C_S_Digital[[#This Row],[Código riesgo]]&lt;&gt;C306,_xlfn.XLOOKUP(C_S_Digital[[#This Row],[Código riesgo]],R_S_Digital[Código Riesgo],#REF!,,0)*IF(C_S_Digital[[#This Row],[Efecto]]="Impacto",1-C_S_Digital[[#This Row],[Peso]],1),IF(C_S_Digital[[#This Row],[Efecto]]="Impacto",V306*(1-C_S_Digital[[#This Row],[Peso]]),V306)),"")</f>
        <v/>
      </c>
    </row>
    <row r="308" spans="1:22" x14ac:dyDescent="0.25">
      <c r="A308" s="3">
        <v>303</v>
      </c>
      <c r="B308" s="85">
        <f>Mapa_RSD!B286</f>
        <v>0</v>
      </c>
      <c r="C308" s="136" t="e">
        <f>+R_S_Digital[[#This Row],[Código Riesgo]]</f>
        <v>#VALUE!</v>
      </c>
      <c r="D308" s="2"/>
      <c r="E308" s="141" t="str">
        <f>IF(C_S_Digital[[#This Row],[Responsable de ejecutar]]&lt;&gt;"",CONCATENATE(C_S_Digital[[#This Row],[Código riesgo]],"-",IF(C_S_Digital[[#This Row],[Código riesgo]]&lt;&gt;C307,1,RIGHT(E307,1)+1)),"")</f>
        <v/>
      </c>
      <c r="F308" s="147"/>
      <c r="G308" s="147"/>
      <c r="H308" s="147"/>
      <c r="I308" s="141" t="s">
        <v>105</v>
      </c>
      <c r="J308" s="141" t="s">
        <v>65</v>
      </c>
      <c r="K308" s="3"/>
      <c r="L308" s="3"/>
      <c r="M308" s="3"/>
      <c r="N308" s="3"/>
      <c r="O308" s="2"/>
      <c r="Q308" s="148"/>
      <c r="R308" s="148"/>
      <c r="S308" s="137">
        <f>_xlfn.XLOOKUP(CONCATENATE(C_S_Digital[[#This Row],[Momento de ejecución]],C_S_Digital[[#This Row],[Forma de ejecución]]),C_Atributos,C_Peso,"",0)</f>
        <v>0.25</v>
      </c>
      <c r="T308" s="141" t="str">
        <f>IFERROR(_xlfn.XLOOKUP(C_S_Digital[[#This Row],[Momento de ejecución]],C_Momento,C_Efecto,,0),"")</f>
        <v>Impacto</v>
      </c>
      <c r="U308" s="143" t="str">
        <f>IFERROR(IF(C_S_Digital[[#This Row],[Código riesgo]]&lt;&gt;C307,_xlfn.XLOOKUP(C308,R_S_Digital[Código Riesgo],#REF!,,0)*IF(C_S_Digital[[#This Row],[Efecto]]="Probabilidad",1-C_S_Digital[[#This Row],[Peso]],1),IF(C_S_Digital[[#This Row],[Efecto]]="Probabilidad",U307*(1-C_S_Digital[[#This Row],[Peso]]),U307)),"")</f>
        <v/>
      </c>
      <c r="V308" s="144" t="str">
        <f>IFERROR(IF(C_S_Digital[[#This Row],[Código riesgo]]&lt;&gt;C307,_xlfn.XLOOKUP(C_S_Digital[[#This Row],[Código riesgo]],R_S_Digital[Código Riesgo],#REF!,,0)*IF(C_S_Digital[[#This Row],[Efecto]]="Impacto",1-C_S_Digital[[#This Row],[Peso]],1),IF(C_S_Digital[[#This Row],[Efecto]]="Impacto",V307*(1-C_S_Digital[[#This Row],[Peso]]),V307)),"")</f>
        <v/>
      </c>
    </row>
    <row r="309" spans="1:22" x14ac:dyDescent="0.25">
      <c r="A309" s="3">
        <v>304</v>
      </c>
      <c r="B309" s="85">
        <f>Mapa_RSD!B287</f>
        <v>0</v>
      </c>
      <c r="C309" s="136" t="e">
        <f>+R_S_Digital[[#This Row],[Código Riesgo]]</f>
        <v>#VALUE!</v>
      </c>
      <c r="D309" s="2"/>
      <c r="E309" s="141" t="str">
        <f>IF(C_S_Digital[[#This Row],[Responsable de ejecutar]]&lt;&gt;"",CONCATENATE(C_S_Digital[[#This Row],[Código riesgo]],"-",IF(C_S_Digital[[#This Row],[Código riesgo]]&lt;&gt;C308,1,RIGHT(E308,1)+1)),"")</f>
        <v/>
      </c>
      <c r="F309" s="147"/>
      <c r="G309" s="147"/>
      <c r="H309" s="147"/>
      <c r="I309" s="141" t="s">
        <v>105</v>
      </c>
      <c r="J309" s="141" t="s">
        <v>65</v>
      </c>
      <c r="K309" s="3"/>
      <c r="L309" s="3"/>
      <c r="M309" s="3"/>
      <c r="N309" s="3"/>
      <c r="O309" s="2"/>
      <c r="Q309" s="148"/>
      <c r="R309" s="148"/>
      <c r="S309" s="137">
        <f>_xlfn.XLOOKUP(CONCATENATE(C_S_Digital[[#This Row],[Momento de ejecución]],C_S_Digital[[#This Row],[Forma de ejecución]]),C_Atributos,C_Peso,"",0)</f>
        <v>0.25</v>
      </c>
      <c r="T309" s="141" t="str">
        <f>IFERROR(_xlfn.XLOOKUP(C_S_Digital[[#This Row],[Momento de ejecución]],C_Momento,C_Efecto,,0),"")</f>
        <v>Impacto</v>
      </c>
      <c r="U309" s="143" t="str">
        <f>IFERROR(IF(C_S_Digital[[#This Row],[Código riesgo]]&lt;&gt;C308,_xlfn.XLOOKUP(C309,R_S_Digital[Código Riesgo],#REF!,,0)*IF(C_S_Digital[[#This Row],[Efecto]]="Probabilidad",1-C_S_Digital[[#This Row],[Peso]],1),IF(C_S_Digital[[#This Row],[Efecto]]="Probabilidad",U308*(1-C_S_Digital[[#This Row],[Peso]]),U308)),"")</f>
        <v/>
      </c>
      <c r="V309" s="144" t="str">
        <f>IFERROR(IF(C_S_Digital[[#This Row],[Código riesgo]]&lt;&gt;C308,_xlfn.XLOOKUP(C_S_Digital[[#This Row],[Código riesgo]],R_S_Digital[Código Riesgo],#REF!,,0)*IF(C_S_Digital[[#This Row],[Efecto]]="Impacto",1-C_S_Digital[[#This Row],[Peso]],1),IF(C_S_Digital[[#This Row],[Efecto]]="Impacto",V308*(1-C_S_Digital[[#This Row],[Peso]]),V308)),"")</f>
        <v/>
      </c>
    </row>
    <row r="310" spans="1:22" x14ac:dyDescent="0.25">
      <c r="A310" s="3">
        <v>305</v>
      </c>
      <c r="B310" s="85">
        <f>Mapa_RSD!B288</f>
        <v>0</v>
      </c>
      <c r="C310" s="136" t="e">
        <f>+R_S_Digital[[#This Row],[Código Riesgo]]</f>
        <v>#VALUE!</v>
      </c>
      <c r="D310" s="2"/>
      <c r="E310" s="141" t="str">
        <f>IF(C_S_Digital[[#This Row],[Responsable de ejecutar]]&lt;&gt;"",CONCATENATE(C_S_Digital[[#This Row],[Código riesgo]],"-",IF(C_S_Digital[[#This Row],[Código riesgo]]&lt;&gt;C309,1,RIGHT(E309,1)+1)),"")</f>
        <v/>
      </c>
      <c r="F310" s="147"/>
      <c r="G310" s="147"/>
      <c r="H310" s="147"/>
      <c r="I310" s="141" t="s">
        <v>105</v>
      </c>
      <c r="J310" s="141" t="s">
        <v>65</v>
      </c>
      <c r="K310" s="3"/>
      <c r="L310" s="3"/>
      <c r="M310" s="3"/>
      <c r="N310" s="3"/>
      <c r="O310" s="2"/>
      <c r="Q310" s="148"/>
      <c r="R310" s="148"/>
      <c r="S310" s="137">
        <f>_xlfn.XLOOKUP(CONCATENATE(C_S_Digital[[#This Row],[Momento de ejecución]],C_S_Digital[[#This Row],[Forma de ejecución]]),C_Atributos,C_Peso,"",0)</f>
        <v>0.25</v>
      </c>
      <c r="T310" s="141" t="str">
        <f>IFERROR(_xlfn.XLOOKUP(C_S_Digital[[#This Row],[Momento de ejecución]],C_Momento,C_Efecto,,0),"")</f>
        <v>Impacto</v>
      </c>
      <c r="U310" s="143" t="str">
        <f>IFERROR(IF(C_S_Digital[[#This Row],[Código riesgo]]&lt;&gt;C309,_xlfn.XLOOKUP(C310,R_S_Digital[Código Riesgo],#REF!,,0)*IF(C_S_Digital[[#This Row],[Efecto]]="Probabilidad",1-C_S_Digital[[#This Row],[Peso]],1),IF(C_S_Digital[[#This Row],[Efecto]]="Probabilidad",U309*(1-C_S_Digital[[#This Row],[Peso]]),U309)),"")</f>
        <v/>
      </c>
      <c r="V310" s="144" t="str">
        <f>IFERROR(IF(C_S_Digital[[#This Row],[Código riesgo]]&lt;&gt;C309,_xlfn.XLOOKUP(C_S_Digital[[#This Row],[Código riesgo]],R_S_Digital[Código Riesgo],#REF!,,0)*IF(C_S_Digital[[#This Row],[Efecto]]="Impacto",1-C_S_Digital[[#This Row],[Peso]],1),IF(C_S_Digital[[#This Row],[Efecto]]="Impacto",V309*(1-C_S_Digital[[#This Row],[Peso]]),V309)),"")</f>
        <v/>
      </c>
    </row>
    <row r="311" spans="1:22" x14ac:dyDescent="0.25">
      <c r="A311" s="3">
        <v>306</v>
      </c>
      <c r="B311" s="85">
        <f>Mapa_RSD!B289</f>
        <v>0</v>
      </c>
      <c r="C311" s="136" t="e">
        <f>+R_S_Digital[[#This Row],[Código Riesgo]]</f>
        <v>#VALUE!</v>
      </c>
      <c r="D311" s="2"/>
      <c r="E311" s="141" t="str">
        <f>IF(C_S_Digital[[#This Row],[Responsable de ejecutar]]&lt;&gt;"",CONCATENATE(C_S_Digital[[#This Row],[Código riesgo]],"-",IF(C_S_Digital[[#This Row],[Código riesgo]]&lt;&gt;C310,1,RIGHT(E310,1)+1)),"")</f>
        <v/>
      </c>
      <c r="F311" s="147"/>
      <c r="G311" s="147"/>
      <c r="H311" s="147"/>
      <c r="I311" s="141" t="s">
        <v>105</v>
      </c>
      <c r="J311" s="141" t="s">
        <v>65</v>
      </c>
      <c r="K311" s="3"/>
      <c r="L311" s="3"/>
      <c r="M311" s="3"/>
      <c r="N311" s="3"/>
      <c r="O311" s="2"/>
      <c r="Q311" s="148"/>
      <c r="R311" s="148"/>
      <c r="S311" s="137">
        <f>_xlfn.XLOOKUP(CONCATENATE(C_S_Digital[[#This Row],[Momento de ejecución]],C_S_Digital[[#This Row],[Forma de ejecución]]),C_Atributos,C_Peso,"",0)</f>
        <v>0.25</v>
      </c>
      <c r="T311" s="141" t="str">
        <f>IFERROR(_xlfn.XLOOKUP(C_S_Digital[[#This Row],[Momento de ejecución]],C_Momento,C_Efecto,,0),"")</f>
        <v>Impacto</v>
      </c>
      <c r="U311" s="143" t="str">
        <f>IFERROR(IF(C_S_Digital[[#This Row],[Código riesgo]]&lt;&gt;C310,_xlfn.XLOOKUP(C311,R_S_Digital[Código Riesgo],#REF!,,0)*IF(C_S_Digital[[#This Row],[Efecto]]="Probabilidad",1-C_S_Digital[[#This Row],[Peso]],1),IF(C_S_Digital[[#This Row],[Efecto]]="Probabilidad",U310*(1-C_S_Digital[[#This Row],[Peso]]),U310)),"")</f>
        <v/>
      </c>
      <c r="V311" s="144" t="str">
        <f>IFERROR(IF(C_S_Digital[[#This Row],[Código riesgo]]&lt;&gt;C310,_xlfn.XLOOKUP(C_S_Digital[[#This Row],[Código riesgo]],R_S_Digital[Código Riesgo],#REF!,,0)*IF(C_S_Digital[[#This Row],[Efecto]]="Impacto",1-C_S_Digital[[#This Row],[Peso]],1),IF(C_S_Digital[[#This Row],[Efecto]]="Impacto",V310*(1-C_S_Digital[[#This Row],[Peso]]),V310)),"")</f>
        <v/>
      </c>
    </row>
    <row r="312" spans="1:22" x14ac:dyDescent="0.25">
      <c r="A312" s="3">
        <v>307</v>
      </c>
      <c r="B312" s="85">
        <f>Mapa_RSD!B290</f>
        <v>0</v>
      </c>
      <c r="C312" s="136" t="e">
        <f>+R_S_Digital[[#This Row],[Código Riesgo]]</f>
        <v>#VALUE!</v>
      </c>
      <c r="D312" s="2"/>
      <c r="E312" s="141" t="str">
        <f>IF(C_S_Digital[[#This Row],[Responsable de ejecutar]]&lt;&gt;"",CONCATENATE(C_S_Digital[[#This Row],[Código riesgo]],"-",IF(C_S_Digital[[#This Row],[Código riesgo]]&lt;&gt;C311,1,RIGHT(E311,1)+1)),"")</f>
        <v/>
      </c>
      <c r="F312" s="147"/>
      <c r="G312" s="147"/>
      <c r="H312" s="147"/>
      <c r="I312" s="141" t="s">
        <v>105</v>
      </c>
      <c r="J312" s="141" t="s">
        <v>65</v>
      </c>
      <c r="K312" s="3"/>
      <c r="L312" s="3"/>
      <c r="M312" s="3"/>
      <c r="N312" s="3"/>
      <c r="O312" s="2"/>
      <c r="Q312" s="148"/>
      <c r="R312" s="148"/>
      <c r="S312" s="137">
        <f>_xlfn.XLOOKUP(CONCATENATE(C_S_Digital[[#This Row],[Momento de ejecución]],C_S_Digital[[#This Row],[Forma de ejecución]]),C_Atributos,C_Peso,"",0)</f>
        <v>0.25</v>
      </c>
      <c r="T312" s="141" t="str">
        <f>IFERROR(_xlfn.XLOOKUP(C_S_Digital[[#This Row],[Momento de ejecución]],C_Momento,C_Efecto,,0),"")</f>
        <v>Impacto</v>
      </c>
      <c r="U312" s="143" t="str">
        <f>IFERROR(IF(C_S_Digital[[#This Row],[Código riesgo]]&lt;&gt;C311,_xlfn.XLOOKUP(C312,R_S_Digital[Código Riesgo],#REF!,,0)*IF(C_S_Digital[[#This Row],[Efecto]]="Probabilidad",1-C_S_Digital[[#This Row],[Peso]],1),IF(C_S_Digital[[#This Row],[Efecto]]="Probabilidad",U311*(1-C_S_Digital[[#This Row],[Peso]]),U311)),"")</f>
        <v/>
      </c>
      <c r="V312" s="144" t="str">
        <f>IFERROR(IF(C_S_Digital[[#This Row],[Código riesgo]]&lt;&gt;C311,_xlfn.XLOOKUP(C_S_Digital[[#This Row],[Código riesgo]],R_S_Digital[Código Riesgo],#REF!,,0)*IF(C_S_Digital[[#This Row],[Efecto]]="Impacto",1-C_S_Digital[[#This Row],[Peso]],1),IF(C_S_Digital[[#This Row],[Efecto]]="Impacto",V311*(1-C_S_Digital[[#This Row],[Peso]]),V311)),"")</f>
        <v/>
      </c>
    </row>
    <row r="313" spans="1:22" x14ac:dyDescent="0.25">
      <c r="A313" s="3">
        <v>308</v>
      </c>
      <c r="B313" s="85">
        <f>Mapa_RSD!B291</f>
        <v>0</v>
      </c>
      <c r="C313" s="136" t="e">
        <f>+R_S_Digital[[#This Row],[Código Riesgo]]</f>
        <v>#VALUE!</v>
      </c>
      <c r="D313" s="2"/>
      <c r="E313" s="141" t="str">
        <f>IF(C_S_Digital[[#This Row],[Responsable de ejecutar]]&lt;&gt;"",CONCATENATE(C_S_Digital[[#This Row],[Código riesgo]],"-",IF(C_S_Digital[[#This Row],[Código riesgo]]&lt;&gt;C312,1,RIGHT(E312,1)+1)),"")</f>
        <v/>
      </c>
      <c r="F313" s="147"/>
      <c r="G313" s="147"/>
      <c r="H313" s="147"/>
      <c r="I313" s="141" t="s">
        <v>105</v>
      </c>
      <c r="J313" s="141" t="s">
        <v>65</v>
      </c>
      <c r="K313" s="3"/>
      <c r="L313" s="3"/>
      <c r="M313" s="3"/>
      <c r="N313" s="3"/>
      <c r="O313" s="2"/>
      <c r="Q313" s="148"/>
      <c r="R313" s="148"/>
      <c r="S313" s="137">
        <f>_xlfn.XLOOKUP(CONCATENATE(C_S_Digital[[#This Row],[Momento de ejecución]],C_S_Digital[[#This Row],[Forma de ejecución]]),C_Atributos,C_Peso,"",0)</f>
        <v>0.25</v>
      </c>
      <c r="T313" s="141" t="str">
        <f>IFERROR(_xlfn.XLOOKUP(C_S_Digital[[#This Row],[Momento de ejecución]],C_Momento,C_Efecto,,0),"")</f>
        <v>Impacto</v>
      </c>
      <c r="U313" s="143" t="str">
        <f>IFERROR(IF(C_S_Digital[[#This Row],[Código riesgo]]&lt;&gt;C312,_xlfn.XLOOKUP(C313,R_S_Digital[Código Riesgo],#REF!,,0)*IF(C_S_Digital[[#This Row],[Efecto]]="Probabilidad",1-C_S_Digital[[#This Row],[Peso]],1),IF(C_S_Digital[[#This Row],[Efecto]]="Probabilidad",U312*(1-C_S_Digital[[#This Row],[Peso]]),U312)),"")</f>
        <v/>
      </c>
      <c r="V313" s="144" t="str">
        <f>IFERROR(IF(C_S_Digital[[#This Row],[Código riesgo]]&lt;&gt;C312,_xlfn.XLOOKUP(C_S_Digital[[#This Row],[Código riesgo]],R_S_Digital[Código Riesgo],#REF!,,0)*IF(C_S_Digital[[#This Row],[Efecto]]="Impacto",1-C_S_Digital[[#This Row],[Peso]],1),IF(C_S_Digital[[#This Row],[Efecto]]="Impacto",V312*(1-C_S_Digital[[#This Row],[Peso]]),V312)),"")</f>
        <v/>
      </c>
    </row>
    <row r="314" spans="1:22" x14ac:dyDescent="0.25">
      <c r="A314" s="3">
        <v>309</v>
      </c>
      <c r="B314" s="85">
        <f>Mapa_RSD!B292</f>
        <v>0</v>
      </c>
      <c r="C314" s="136" t="e">
        <f>+R_S_Digital[[#This Row],[Código Riesgo]]</f>
        <v>#VALUE!</v>
      </c>
      <c r="D314" s="2"/>
      <c r="E314" s="141" t="str">
        <f>IF(C_S_Digital[[#This Row],[Responsable de ejecutar]]&lt;&gt;"",CONCATENATE(C_S_Digital[[#This Row],[Código riesgo]],"-",IF(C_S_Digital[[#This Row],[Código riesgo]]&lt;&gt;C313,1,RIGHT(E313,1)+1)),"")</f>
        <v/>
      </c>
      <c r="F314" s="147"/>
      <c r="G314" s="147"/>
      <c r="H314" s="147"/>
      <c r="I314" s="141" t="s">
        <v>105</v>
      </c>
      <c r="J314" s="141" t="s">
        <v>65</v>
      </c>
      <c r="K314" s="3"/>
      <c r="L314" s="3"/>
      <c r="M314" s="3"/>
      <c r="N314" s="3"/>
      <c r="O314" s="2"/>
      <c r="Q314" s="148"/>
      <c r="R314" s="148"/>
      <c r="S314" s="137">
        <f>_xlfn.XLOOKUP(CONCATENATE(C_S_Digital[[#This Row],[Momento de ejecución]],C_S_Digital[[#This Row],[Forma de ejecución]]),C_Atributos,C_Peso,"",0)</f>
        <v>0.25</v>
      </c>
      <c r="T314" s="141" t="str">
        <f>IFERROR(_xlfn.XLOOKUP(C_S_Digital[[#This Row],[Momento de ejecución]],C_Momento,C_Efecto,,0),"")</f>
        <v>Impacto</v>
      </c>
      <c r="U314" s="143" t="str">
        <f>IFERROR(IF(C_S_Digital[[#This Row],[Código riesgo]]&lt;&gt;C313,_xlfn.XLOOKUP(C314,R_S_Digital[Código Riesgo],#REF!,,0)*IF(C_S_Digital[[#This Row],[Efecto]]="Probabilidad",1-C_S_Digital[[#This Row],[Peso]],1),IF(C_S_Digital[[#This Row],[Efecto]]="Probabilidad",U313*(1-C_S_Digital[[#This Row],[Peso]]),U313)),"")</f>
        <v/>
      </c>
      <c r="V314" s="144" t="str">
        <f>IFERROR(IF(C_S_Digital[[#This Row],[Código riesgo]]&lt;&gt;C313,_xlfn.XLOOKUP(C_S_Digital[[#This Row],[Código riesgo]],R_S_Digital[Código Riesgo],#REF!,,0)*IF(C_S_Digital[[#This Row],[Efecto]]="Impacto",1-C_S_Digital[[#This Row],[Peso]],1),IF(C_S_Digital[[#This Row],[Efecto]]="Impacto",V313*(1-C_S_Digital[[#This Row],[Peso]]),V313)),"")</f>
        <v/>
      </c>
    </row>
    <row r="315" spans="1:22" x14ac:dyDescent="0.25">
      <c r="A315" s="3">
        <v>310</v>
      </c>
      <c r="B315" s="85">
        <f>Mapa_RSD!B293</f>
        <v>0</v>
      </c>
      <c r="C315" s="136" t="e">
        <f>+R_S_Digital[[#This Row],[Código Riesgo]]</f>
        <v>#VALUE!</v>
      </c>
      <c r="D315" s="2"/>
      <c r="E315" s="141" t="str">
        <f>IF(C_S_Digital[[#This Row],[Responsable de ejecutar]]&lt;&gt;"",CONCATENATE(C_S_Digital[[#This Row],[Código riesgo]],"-",IF(C_S_Digital[[#This Row],[Código riesgo]]&lt;&gt;C314,1,RIGHT(E314,1)+1)),"")</f>
        <v/>
      </c>
      <c r="F315" s="147"/>
      <c r="G315" s="147"/>
      <c r="H315" s="147"/>
      <c r="I315" s="141" t="s">
        <v>105</v>
      </c>
      <c r="J315" s="141" t="s">
        <v>65</v>
      </c>
      <c r="K315" s="3"/>
      <c r="L315" s="3"/>
      <c r="M315" s="3"/>
      <c r="N315" s="3"/>
      <c r="O315" s="2"/>
      <c r="Q315" s="148"/>
      <c r="R315" s="148"/>
      <c r="S315" s="137">
        <f>_xlfn.XLOOKUP(CONCATENATE(C_S_Digital[[#This Row],[Momento de ejecución]],C_S_Digital[[#This Row],[Forma de ejecución]]),C_Atributos,C_Peso,"",0)</f>
        <v>0.25</v>
      </c>
      <c r="T315" s="141" t="str">
        <f>IFERROR(_xlfn.XLOOKUP(C_S_Digital[[#This Row],[Momento de ejecución]],C_Momento,C_Efecto,,0),"")</f>
        <v>Impacto</v>
      </c>
      <c r="U315" s="143" t="str">
        <f>IFERROR(IF(C_S_Digital[[#This Row],[Código riesgo]]&lt;&gt;C314,_xlfn.XLOOKUP(C315,R_S_Digital[Código Riesgo],#REF!,,0)*IF(C_S_Digital[[#This Row],[Efecto]]="Probabilidad",1-C_S_Digital[[#This Row],[Peso]],1),IF(C_S_Digital[[#This Row],[Efecto]]="Probabilidad",U314*(1-C_S_Digital[[#This Row],[Peso]]),U314)),"")</f>
        <v/>
      </c>
      <c r="V315" s="144" t="str">
        <f>IFERROR(IF(C_S_Digital[[#This Row],[Código riesgo]]&lt;&gt;C314,_xlfn.XLOOKUP(C_S_Digital[[#This Row],[Código riesgo]],R_S_Digital[Código Riesgo],#REF!,,0)*IF(C_S_Digital[[#This Row],[Efecto]]="Impacto",1-C_S_Digital[[#This Row],[Peso]],1),IF(C_S_Digital[[#This Row],[Efecto]]="Impacto",V314*(1-C_S_Digital[[#This Row],[Peso]]),V314)),"")</f>
        <v/>
      </c>
    </row>
    <row r="316" spans="1:22" x14ac:dyDescent="0.25">
      <c r="A316" s="3">
        <v>311</v>
      </c>
      <c r="B316" s="85">
        <f>Mapa_RSD!B294</f>
        <v>0</v>
      </c>
      <c r="C316" s="136" t="e">
        <f>+R_S_Digital[[#This Row],[Código Riesgo]]</f>
        <v>#VALUE!</v>
      </c>
      <c r="D316" s="2"/>
      <c r="E316" s="141" t="str">
        <f>IF(C_S_Digital[[#This Row],[Responsable de ejecutar]]&lt;&gt;"",CONCATENATE(C_S_Digital[[#This Row],[Código riesgo]],"-",IF(C_S_Digital[[#This Row],[Código riesgo]]&lt;&gt;C315,1,RIGHT(E315,1)+1)),"")</f>
        <v/>
      </c>
      <c r="F316" s="147"/>
      <c r="G316" s="147"/>
      <c r="H316" s="147"/>
      <c r="I316" s="141" t="s">
        <v>105</v>
      </c>
      <c r="J316" s="141" t="s">
        <v>65</v>
      </c>
      <c r="K316" s="3"/>
      <c r="L316" s="3"/>
      <c r="M316" s="3"/>
      <c r="N316" s="3"/>
      <c r="O316" s="2"/>
      <c r="Q316" s="148"/>
      <c r="R316" s="148"/>
      <c r="S316" s="137">
        <f>_xlfn.XLOOKUP(CONCATENATE(C_S_Digital[[#This Row],[Momento de ejecución]],C_S_Digital[[#This Row],[Forma de ejecución]]),C_Atributos,C_Peso,"",0)</f>
        <v>0.25</v>
      </c>
      <c r="T316" s="141" t="str">
        <f>IFERROR(_xlfn.XLOOKUP(C_S_Digital[[#This Row],[Momento de ejecución]],C_Momento,C_Efecto,,0),"")</f>
        <v>Impacto</v>
      </c>
      <c r="U316" s="143" t="str">
        <f>IFERROR(IF(C_S_Digital[[#This Row],[Código riesgo]]&lt;&gt;C315,_xlfn.XLOOKUP(C316,R_S_Digital[Código Riesgo],#REF!,,0)*IF(C_S_Digital[[#This Row],[Efecto]]="Probabilidad",1-C_S_Digital[[#This Row],[Peso]],1),IF(C_S_Digital[[#This Row],[Efecto]]="Probabilidad",U315*(1-C_S_Digital[[#This Row],[Peso]]),U315)),"")</f>
        <v/>
      </c>
      <c r="V316" s="144" t="str">
        <f>IFERROR(IF(C_S_Digital[[#This Row],[Código riesgo]]&lt;&gt;C315,_xlfn.XLOOKUP(C_S_Digital[[#This Row],[Código riesgo]],R_S_Digital[Código Riesgo],#REF!,,0)*IF(C_S_Digital[[#This Row],[Efecto]]="Impacto",1-C_S_Digital[[#This Row],[Peso]],1),IF(C_S_Digital[[#This Row],[Efecto]]="Impacto",V315*(1-C_S_Digital[[#This Row],[Peso]]),V315)),"")</f>
        <v/>
      </c>
    </row>
    <row r="317" spans="1:22" x14ac:dyDescent="0.25">
      <c r="A317" s="3">
        <v>312</v>
      </c>
      <c r="B317" s="85">
        <f>Mapa_RSD!B295</f>
        <v>0</v>
      </c>
      <c r="C317" s="136" t="e">
        <f>+R_S_Digital[[#This Row],[Código Riesgo]]</f>
        <v>#VALUE!</v>
      </c>
      <c r="D317" s="2"/>
      <c r="E317" s="141" t="str">
        <f>IF(C_S_Digital[[#This Row],[Responsable de ejecutar]]&lt;&gt;"",CONCATENATE(C_S_Digital[[#This Row],[Código riesgo]],"-",IF(C_S_Digital[[#This Row],[Código riesgo]]&lt;&gt;C316,1,RIGHT(E316,1)+1)),"")</f>
        <v/>
      </c>
      <c r="F317" s="147"/>
      <c r="G317" s="147"/>
      <c r="H317" s="147"/>
      <c r="I317" s="141" t="s">
        <v>105</v>
      </c>
      <c r="J317" s="141" t="s">
        <v>65</v>
      </c>
      <c r="K317" s="3"/>
      <c r="L317" s="3"/>
      <c r="M317" s="3"/>
      <c r="N317" s="3"/>
      <c r="O317" s="2"/>
      <c r="Q317" s="148"/>
      <c r="R317" s="148"/>
      <c r="S317" s="137">
        <f>_xlfn.XLOOKUP(CONCATENATE(C_S_Digital[[#This Row],[Momento de ejecución]],C_S_Digital[[#This Row],[Forma de ejecución]]),C_Atributos,C_Peso,"",0)</f>
        <v>0.25</v>
      </c>
      <c r="T317" s="141" t="str">
        <f>IFERROR(_xlfn.XLOOKUP(C_S_Digital[[#This Row],[Momento de ejecución]],C_Momento,C_Efecto,,0),"")</f>
        <v>Impacto</v>
      </c>
      <c r="U317" s="143" t="str">
        <f>IFERROR(IF(C_S_Digital[[#This Row],[Código riesgo]]&lt;&gt;C316,_xlfn.XLOOKUP(C317,R_S_Digital[Código Riesgo],#REF!,,0)*IF(C_S_Digital[[#This Row],[Efecto]]="Probabilidad",1-C_S_Digital[[#This Row],[Peso]],1),IF(C_S_Digital[[#This Row],[Efecto]]="Probabilidad",U316*(1-C_S_Digital[[#This Row],[Peso]]),U316)),"")</f>
        <v/>
      </c>
      <c r="V317" s="144" t="str">
        <f>IFERROR(IF(C_S_Digital[[#This Row],[Código riesgo]]&lt;&gt;C316,_xlfn.XLOOKUP(C_S_Digital[[#This Row],[Código riesgo]],R_S_Digital[Código Riesgo],#REF!,,0)*IF(C_S_Digital[[#This Row],[Efecto]]="Impacto",1-C_S_Digital[[#This Row],[Peso]],1),IF(C_S_Digital[[#This Row],[Efecto]]="Impacto",V316*(1-C_S_Digital[[#This Row],[Peso]]),V316)),"")</f>
        <v/>
      </c>
    </row>
    <row r="318" spans="1:22" x14ac:dyDescent="0.25">
      <c r="A318" s="3">
        <v>313</v>
      </c>
      <c r="B318" s="85">
        <f>Mapa_RSD!B296</f>
        <v>0</v>
      </c>
      <c r="C318" s="136" t="e">
        <f>+R_S_Digital[[#This Row],[Código Riesgo]]</f>
        <v>#VALUE!</v>
      </c>
      <c r="D318" s="2"/>
      <c r="E318" s="141" t="str">
        <f>IF(C_S_Digital[[#This Row],[Responsable de ejecutar]]&lt;&gt;"",CONCATENATE(C_S_Digital[[#This Row],[Código riesgo]],"-",IF(C_S_Digital[[#This Row],[Código riesgo]]&lt;&gt;C317,1,RIGHT(E317,1)+1)),"")</f>
        <v/>
      </c>
      <c r="F318" s="147"/>
      <c r="G318" s="147"/>
      <c r="H318" s="147"/>
      <c r="I318" s="141" t="s">
        <v>105</v>
      </c>
      <c r="J318" s="141" t="s">
        <v>65</v>
      </c>
      <c r="K318" s="3"/>
      <c r="L318" s="3"/>
      <c r="M318" s="3"/>
      <c r="N318" s="3"/>
      <c r="O318" s="2"/>
      <c r="Q318" s="148"/>
      <c r="R318" s="148"/>
      <c r="S318" s="137">
        <f>_xlfn.XLOOKUP(CONCATENATE(C_S_Digital[[#This Row],[Momento de ejecución]],C_S_Digital[[#This Row],[Forma de ejecución]]),C_Atributos,C_Peso,"",0)</f>
        <v>0.25</v>
      </c>
      <c r="T318" s="141" t="str">
        <f>IFERROR(_xlfn.XLOOKUP(C_S_Digital[[#This Row],[Momento de ejecución]],C_Momento,C_Efecto,,0),"")</f>
        <v>Impacto</v>
      </c>
      <c r="U318" s="143" t="str">
        <f>IFERROR(IF(C_S_Digital[[#This Row],[Código riesgo]]&lt;&gt;C317,_xlfn.XLOOKUP(C318,R_S_Digital[Código Riesgo],#REF!,,0)*IF(C_S_Digital[[#This Row],[Efecto]]="Probabilidad",1-C_S_Digital[[#This Row],[Peso]],1),IF(C_S_Digital[[#This Row],[Efecto]]="Probabilidad",U317*(1-C_S_Digital[[#This Row],[Peso]]),U317)),"")</f>
        <v/>
      </c>
      <c r="V318" s="144" t="str">
        <f>IFERROR(IF(C_S_Digital[[#This Row],[Código riesgo]]&lt;&gt;C317,_xlfn.XLOOKUP(C_S_Digital[[#This Row],[Código riesgo]],R_S_Digital[Código Riesgo],#REF!,,0)*IF(C_S_Digital[[#This Row],[Efecto]]="Impacto",1-C_S_Digital[[#This Row],[Peso]],1),IF(C_S_Digital[[#This Row],[Efecto]]="Impacto",V317*(1-C_S_Digital[[#This Row],[Peso]]),V317)),"")</f>
        <v/>
      </c>
    </row>
    <row r="319" spans="1:22" x14ac:dyDescent="0.25">
      <c r="A319" s="3">
        <v>314</v>
      </c>
      <c r="B319" s="85">
        <f>Mapa_RSD!B297</f>
        <v>0</v>
      </c>
      <c r="C319" s="136" t="e">
        <f>+R_S_Digital[[#This Row],[Código Riesgo]]</f>
        <v>#VALUE!</v>
      </c>
      <c r="D319" s="2"/>
      <c r="E319" s="141" t="str">
        <f>IF(C_S_Digital[[#This Row],[Responsable de ejecutar]]&lt;&gt;"",CONCATENATE(C_S_Digital[[#This Row],[Código riesgo]],"-",IF(C_S_Digital[[#This Row],[Código riesgo]]&lt;&gt;C318,1,RIGHT(E318,1)+1)),"")</f>
        <v/>
      </c>
      <c r="F319" s="147"/>
      <c r="G319" s="147"/>
      <c r="H319" s="147"/>
      <c r="I319" s="141" t="s">
        <v>105</v>
      </c>
      <c r="J319" s="141" t="s">
        <v>65</v>
      </c>
      <c r="K319" s="3"/>
      <c r="L319" s="3"/>
      <c r="M319" s="3"/>
      <c r="N319" s="3"/>
      <c r="O319" s="2"/>
      <c r="Q319" s="148"/>
      <c r="R319" s="148"/>
      <c r="S319" s="137">
        <f>_xlfn.XLOOKUP(CONCATENATE(C_S_Digital[[#This Row],[Momento de ejecución]],C_S_Digital[[#This Row],[Forma de ejecución]]),C_Atributos,C_Peso,"",0)</f>
        <v>0.25</v>
      </c>
      <c r="T319" s="141" t="str">
        <f>IFERROR(_xlfn.XLOOKUP(C_S_Digital[[#This Row],[Momento de ejecución]],C_Momento,C_Efecto,,0),"")</f>
        <v>Impacto</v>
      </c>
      <c r="U319" s="143" t="str">
        <f>IFERROR(IF(C_S_Digital[[#This Row],[Código riesgo]]&lt;&gt;C318,_xlfn.XLOOKUP(C319,R_S_Digital[Código Riesgo],#REF!,,0)*IF(C_S_Digital[[#This Row],[Efecto]]="Probabilidad",1-C_S_Digital[[#This Row],[Peso]],1),IF(C_S_Digital[[#This Row],[Efecto]]="Probabilidad",U318*(1-C_S_Digital[[#This Row],[Peso]]),U318)),"")</f>
        <v/>
      </c>
      <c r="V319" s="144" t="str">
        <f>IFERROR(IF(C_S_Digital[[#This Row],[Código riesgo]]&lt;&gt;C318,_xlfn.XLOOKUP(C_S_Digital[[#This Row],[Código riesgo]],R_S_Digital[Código Riesgo],#REF!,,0)*IF(C_S_Digital[[#This Row],[Efecto]]="Impacto",1-C_S_Digital[[#This Row],[Peso]],1),IF(C_S_Digital[[#This Row],[Efecto]]="Impacto",V318*(1-C_S_Digital[[#This Row],[Peso]]),V318)),"")</f>
        <v/>
      </c>
    </row>
    <row r="320" spans="1:22" x14ac:dyDescent="0.25">
      <c r="A320" s="3">
        <v>315</v>
      </c>
      <c r="B320" s="85">
        <f>Mapa_RSD!B298</f>
        <v>0</v>
      </c>
      <c r="C320" s="136" t="e">
        <f>+R_S_Digital[[#This Row],[Código Riesgo]]</f>
        <v>#VALUE!</v>
      </c>
      <c r="D320" s="2"/>
      <c r="E320" s="141" t="str">
        <f>IF(C_S_Digital[[#This Row],[Responsable de ejecutar]]&lt;&gt;"",CONCATENATE(C_S_Digital[[#This Row],[Código riesgo]],"-",IF(C_S_Digital[[#This Row],[Código riesgo]]&lt;&gt;C319,1,RIGHT(E319,1)+1)),"")</f>
        <v/>
      </c>
      <c r="F320" s="147"/>
      <c r="G320" s="147"/>
      <c r="H320" s="147"/>
      <c r="I320" s="141" t="s">
        <v>105</v>
      </c>
      <c r="J320" s="141" t="s">
        <v>65</v>
      </c>
      <c r="K320" s="3"/>
      <c r="L320" s="3"/>
      <c r="M320" s="3"/>
      <c r="N320" s="3"/>
      <c r="O320" s="2"/>
      <c r="Q320" s="148"/>
      <c r="R320" s="148"/>
      <c r="S320" s="137">
        <f>_xlfn.XLOOKUP(CONCATENATE(C_S_Digital[[#This Row],[Momento de ejecución]],C_S_Digital[[#This Row],[Forma de ejecución]]),C_Atributos,C_Peso,"",0)</f>
        <v>0.25</v>
      </c>
      <c r="T320" s="141" t="str">
        <f>IFERROR(_xlfn.XLOOKUP(C_S_Digital[[#This Row],[Momento de ejecución]],C_Momento,C_Efecto,,0),"")</f>
        <v>Impacto</v>
      </c>
      <c r="U320" s="143" t="str">
        <f>IFERROR(IF(C_S_Digital[[#This Row],[Código riesgo]]&lt;&gt;C319,_xlfn.XLOOKUP(C320,R_S_Digital[Código Riesgo],#REF!,,0)*IF(C_S_Digital[[#This Row],[Efecto]]="Probabilidad",1-C_S_Digital[[#This Row],[Peso]],1),IF(C_S_Digital[[#This Row],[Efecto]]="Probabilidad",U319*(1-C_S_Digital[[#This Row],[Peso]]),U319)),"")</f>
        <v/>
      </c>
      <c r="V320" s="144" t="str">
        <f>IFERROR(IF(C_S_Digital[[#This Row],[Código riesgo]]&lt;&gt;C319,_xlfn.XLOOKUP(C_S_Digital[[#This Row],[Código riesgo]],R_S_Digital[Código Riesgo],#REF!,,0)*IF(C_S_Digital[[#This Row],[Efecto]]="Impacto",1-C_S_Digital[[#This Row],[Peso]],1),IF(C_S_Digital[[#This Row],[Efecto]]="Impacto",V319*(1-C_S_Digital[[#This Row],[Peso]]),V319)),"")</f>
        <v/>
      </c>
    </row>
    <row r="321" spans="1:22" x14ac:dyDescent="0.25">
      <c r="A321" s="3">
        <v>316</v>
      </c>
      <c r="B321" s="85">
        <f>Mapa_RSD!B299</f>
        <v>0</v>
      </c>
      <c r="C321" s="136" t="e">
        <f>+R_S_Digital[[#This Row],[Código Riesgo]]</f>
        <v>#VALUE!</v>
      </c>
      <c r="D321" s="2"/>
      <c r="E321" s="141" t="str">
        <f>IF(C_S_Digital[[#This Row],[Responsable de ejecutar]]&lt;&gt;"",CONCATENATE(C_S_Digital[[#This Row],[Código riesgo]],"-",IF(C_S_Digital[[#This Row],[Código riesgo]]&lt;&gt;C320,1,RIGHT(E320,1)+1)),"")</f>
        <v/>
      </c>
      <c r="F321" s="147"/>
      <c r="G321" s="147"/>
      <c r="H321" s="147"/>
      <c r="I321" s="141" t="s">
        <v>105</v>
      </c>
      <c r="J321" s="141" t="s">
        <v>65</v>
      </c>
      <c r="K321" s="3"/>
      <c r="L321" s="3"/>
      <c r="M321" s="3"/>
      <c r="N321" s="3"/>
      <c r="O321" s="2"/>
      <c r="Q321" s="148"/>
      <c r="R321" s="148"/>
      <c r="S321" s="137">
        <f>_xlfn.XLOOKUP(CONCATENATE(C_S_Digital[[#This Row],[Momento de ejecución]],C_S_Digital[[#This Row],[Forma de ejecución]]),C_Atributos,C_Peso,"",0)</f>
        <v>0.25</v>
      </c>
      <c r="T321" s="141" t="str">
        <f>IFERROR(_xlfn.XLOOKUP(C_S_Digital[[#This Row],[Momento de ejecución]],C_Momento,C_Efecto,,0),"")</f>
        <v>Impacto</v>
      </c>
      <c r="U321" s="143" t="str">
        <f>IFERROR(IF(C_S_Digital[[#This Row],[Código riesgo]]&lt;&gt;C320,_xlfn.XLOOKUP(C321,R_S_Digital[Código Riesgo],#REF!,,0)*IF(C_S_Digital[[#This Row],[Efecto]]="Probabilidad",1-C_S_Digital[[#This Row],[Peso]],1),IF(C_S_Digital[[#This Row],[Efecto]]="Probabilidad",U320*(1-C_S_Digital[[#This Row],[Peso]]),U320)),"")</f>
        <v/>
      </c>
      <c r="V321" s="144" t="str">
        <f>IFERROR(IF(C_S_Digital[[#This Row],[Código riesgo]]&lt;&gt;C320,_xlfn.XLOOKUP(C_S_Digital[[#This Row],[Código riesgo]],R_S_Digital[Código Riesgo],#REF!,,0)*IF(C_S_Digital[[#This Row],[Efecto]]="Impacto",1-C_S_Digital[[#This Row],[Peso]],1),IF(C_S_Digital[[#This Row],[Efecto]]="Impacto",V320*(1-C_S_Digital[[#This Row],[Peso]]),V320)),"")</f>
        <v/>
      </c>
    </row>
    <row r="322" spans="1:22" x14ac:dyDescent="0.25">
      <c r="A322" s="3">
        <v>317</v>
      </c>
      <c r="B322" s="85">
        <f>Mapa_RSD!B300</f>
        <v>0</v>
      </c>
      <c r="C322" s="136" t="e">
        <f>+R_S_Digital[[#This Row],[Código Riesgo]]</f>
        <v>#VALUE!</v>
      </c>
      <c r="D322" s="2"/>
      <c r="E322" s="141" t="str">
        <f>IF(C_S_Digital[[#This Row],[Responsable de ejecutar]]&lt;&gt;"",CONCATENATE(C_S_Digital[[#This Row],[Código riesgo]],"-",IF(C_S_Digital[[#This Row],[Código riesgo]]&lt;&gt;C321,1,RIGHT(E321,1)+1)),"")</f>
        <v/>
      </c>
      <c r="F322" s="147"/>
      <c r="G322" s="147"/>
      <c r="H322" s="147"/>
      <c r="I322" s="141" t="s">
        <v>105</v>
      </c>
      <c r="J322" s="141" t="s">
        <v>65</v>
      </c>
      <c r="K322" s="3"/>
      <c r="L322" s="3"/>
      <c r="M322" s="3"/>
      <c r="N322" s="3"/>
      <c r="O322" s="2"/>
      <c r="Q322" s="148"/>
      <c r="R322" s="148"/>
      <c r="S322" s="137">
        <f>_xlfn.XLOOKUP(CONCATENATE(C_S_Digital[[#This Row],[Momento de ejecución]],C_S_Digital[[#This Row],[Forma de ejecución]]),C_Atributos,C_Peso,"",0)</f>
        <v>0.25</v>
      </c>
      <c r="T322" s="141" t="str">
        <f>IFERROR(_xlfn.XLOOKUP(C_S_Digital[[#This Row],[Momento de ejecución]],C_Momento,C_Efecto,,0),"")</f>
        <v>Impacto</v>
      </c>
      <c r="U322" s="143" t="str">
        <f>IFERROR(IF(C_S_Digital[[#This Row],[Código riesgo]]&lt;&gt;C321,_xlfn.XLOOKUP(C322,R_S_Digital[Código Riesgo],#REF!,,0)*IF(C_S_Digital[[#This Row],[Efecto]]="Probabilidad",1-C_S_Digital[[#This Row],[Peso]],1),IF(C_S_Digital[[#This Row],[Efecto]]="Probabilidad",U321*(1-C_S_Digital[[#This Row],[Peso]]),U321)),"")</f>
        <v/>
      </c>
      <c r="V322" s="144" t="str">
        <f>IFERROR(IF(C_S_Digital[[#This Row],[Código riesgo]]&lt;&gt;C321,_xlfn.XLOOKUP(C_S_Digital[[#This Row],[Código riesgo]],R_S_Digital[Código Riesgo],#REF!,,0)*IF(C_S_Digital[[#This Row],[Efecto]]="Impacto",1-C_S_Digital[[#This Row],[Peso]],1),IF(C_S_Digital[[#This Row],[Efecto]]="Impacto",V321*(1-C_S_Digital[[#This Row],[Peso]]),V321)),"")</f>
        <v/>
      </c>
    </row>
    <row r="323" spans="1:22" x14ac:dyDescent="0.25">
      <c r="A323" s="3">
        <v>318</v>
      </c>
      <c r="B323" s="85">
        <f>Mapa_RSD!B301</f>
        <v>0</v>
      </c>
      <c r="C323" s="136" t="e">
        <f>+R_S_Digital[[#This Row],[Código Riesgo]]</f>
        <v>#VALUE!</v>
      </c>
      <c r="D323" s="2"/>
      <c r="E323" s="141" t="str">
        <f>IF(C_S_Digital[[#This Row],[Responsable de ejecutar]]&lt;&gt;"",CONCATENATE(C_S_Digital[[#This Row],[Código riesgo]],"-",IF(C_S_Digital[[#This Row],[Código riesgo]]&lt;&gt;C322,1,RIGHT(E322,1)+1)),"")</f>
        <v/>
      </c>
      <c r="F323" s="147"/>
      <c r="G323" s="147"/>
      <c r="H323" s="147"/>
      <c r="I323" s="141" t="s">
        <v>105</v>
      </c>
      <c r="J323" s="141" t="s">
        <v>65</v>
      </c>
      <c r="K323" s="3"/>
      <c r="L323" s="3"/>
      <c r="M323" s="3"/>
      <c r="N323" s="3"/>
      <c r="O323" s="2"/>
      <c r="Q323" s="148"/>
      <c r="R323" s="148"/>
      <c r="S323" s="137">
        <f>_xlfn.XLOOKUP(CONCATENATE(C_S_Digital[[#This Row],[Momento de ejecución]],C_S_Digital[[#This Row],[Forma de ejecución]]),C_Atributos,C_Peso,"",0)</f>
        <v>0.25</v>
      </c>
      <c r="T323" s="141" t="str">
        <f>IFERROR(_xlfn.XLOOKUP(C_S_Digital[[#This Row],[Momento de ejecución]],C_Momento,C_Efecto,,0),"")</f>
        <v>Impacto</v>
      </c>
      <c r="U323" s="143" t="str">
        <f>IFERROR(IF(C_S_Digital[[#This Row],[Código riesgo]]&lt;&gt;C322,_xlfn.XLOOKUP(C323,R_S_Digital[Código Riesgo],#REF!,,0)*IF(C_S_Digital[[#This Row],[Efecto]]="Probabilidad",1-C_S_Digital[[#This Row],[Peso]],1),IF(C_S_Digital[[#This Row],[Efecto]]="Probabilidad",U322*(1-C_S_Digital[[#This Row],[Peso]]),U322)),"")</f>
        <v/>
      </c>
      <c r="V323" s="144" t="str">
        <f>IFERROR(IF(C_S_Digital[[#This Row],[Código riesgo]]&lt;&gt;C322,_xlfn.XLOOKUP(C_S_Digital[[#This Row],[Código riesgo]],R_S_Digital[Código Riesgo],#REF!,,0)*IF(C_S_Digital[[#This Row],[Efecto]]="Impacto",1-C_S_Digital[[#This Row],[Peso]],1),IF(C_S_Digital[[#This Row],[Efecto]]="Impacto",V322*(1-C_S_Digital[[#This Row],[Peso]]),V322)),"")</f>
        <v/>
      </c>
    </row>
    <row r="324" spans="1:22" x14ac:dyDescent="0.25">
      <c r="A324" s="3">
        <v>319</v>
      </c>
      <c r="B324" s="85">
        <f>Mapa_RSD!B302</f>
        <v>0</v>
      </c>
      <c r="C324" s="136" t="e">
        <f>+R_S_Digital[[#This Row],[Código Riesgo]]</f>
        <v>#VALUE!</v>
      </c>
      <c r="D324" s="2"/>
      <c r="E324" s="141" t="str">
        <f>IF(C_S_Digital[[#This Row],[Responsable de ejecutar]]&lt;&gt;"",CONCATENATE(C_S_Digital[[#This Row],[Código riesgo]],"-",IF(C_S_Digital[[#This Row],[Código riesgo]]&lt;&gt;C323,1,RIGHT(E323,1)+1)),"")</f>
        <v/>
      </c>
      <c r="F324" s="147"/>
      <c r="G324" s="147"/>
      <c r="H324" s="147"/>
      <c r="I324" s="141" t="s">
        <v>105</v>
      </c>
      <c r="J324" s="141" t="s">
        <v>65</v>
      </c>
      <c r="K324" s="3"/>
      <c r="L324" s="3"/>
      <c r="M324" s="3"/>
      <c r="N324" s="3"/>
      <c r="O324" s="2"/>
      <c r="Q324" s="148"/>
      <c r="R324" s="148"/>
      <c r="S324" s="137">
        <f>_xlfn.XLOOKUP(CONCATENATE(C_S_Digital[[#This Row],[Momento de ejecución]],C_S_Digital[[#This Row],[Forma de ejecución]]),C_Atributos,C_Peso,"",0)</f>
        <v>0.25</v>
      </c>
      <c r="T324" s="141" t="str">
        <f>IFERROR(_xlfn.XLOOKUP(C_S_Digital[[#This Row],[Momento de ejecución]],C_Momento,C_Efecto,,0),"")</f>
        <v>Impacto</v>
      </c>
      <c r="U324" s="143" t="str">
        <f>IFERROR(IF(C_S_Digital[[#This Row],[Código riesgo]]&lt;&gt;C323,_xlfn.XLOOKUP(C324,R_S_Digital[Código Riesgo],#REF!,,0)*IF(C_S_Digital[[#This Row],[Efecto]]="Probabilidad",1-C_S_Digital[[#This Row],[Peso]],1),IF(C_S_Digital[[#This Row],[Efecto]]="Probabilidad",U323*(1-C_S_Digital[[#This Row],[Peso]]),U323)),"")</f>
        <v/>
      </c>
      <c r="V324" s="144" t="str">
        <f>IFERROR(IF(C_S_Digital[[#This Row],[Código riesgo]]&lt;&gt;C323,_xlfn.XLOOKUP(C_S_Digital[[#This Row],[Código riesgo]],R_S_Digital[Código Riesgo],#REF!,,0)*IF(C_S_Digital[[#This Row],[Efecto]]="Impacto",1-C_S_Digital[[#This Row],[Peso]],1),IF(C_S_Digital[[#This Row],[Efecto]]="Impacto",V323*(1-C_S_Digital[[#This Row],[Peso]]),V323)),"")</f>
        <v/>
      </c>
    </row>
    <row r="325" spans="1:22" x14ac:dyDescent="0.25">
      <c r="A325" s="3">
        <v>320</v>
      </c>
      <c r="B325" s="85">
        <f>Mapa_RSD!B303</f>
        <v>0</v>
      </c>
      <c r="C325" s="136" t="e">
        <f>+R_S_Digital[[#This Row],[Código Riesgo]]</f>
        <v>#VALUE!</v>
      </c>
      <c r="D325" s="2"/>
      <c r="E325" s="141" t="str">
        <f>IF(C_S_Digital[[#This Row],[Responsable de ejecutar]]&lt;&gt;"",CONCATENATE(C_S_Digital[[#This Row],[Código riesgo]],"-",IF(C_S_Digital[[#This Row],[Código riesgo]]&lt;&gt;C324,1,RIGHT(E324,1)+1)),"")</f>
        <v/>
      </c>
      <c r="F325" s="147"/>
      <c r="G325" s="147"/>
      <c r="H325" s="147"/>
      <c r="I325" s="141" t="s">
        <v>105</v>
      </c>
      <c r="J325" s="141" t="s">
        <v>65</v>
      </c>
      <c r="K325" s="3"/>
      <c r="L325" s="3"/>
      <c r="M325" s="3"/>
      <c r="N325" s="3"/>
      <c r="O325" s="2"/>
      <c r="Q325" s="148"/>
      <c r="R325" s="148"/>
      <c r="S325" s="137">
        <f>_xlfn.XLOOKUP(CONCATENATE(C_S_Digital[[#This Row],[Momento de ejecución]],C_S_Digital[[#This Row],[Forma de ejecución]]),C_Atributos,C_Peso,"",0)</f>
        <v>0.25</v>
      </c>
      <c r="T325" s="141" t="str">
        <f>IFERROR(_xlfn.XLOOKUP(C_S_Digital[[#This Row],[Momento de ejecución]],C_Momento,C_Efecto,,0),"")</f>
        <v>Impacto</v>
      </c>
      <c r="U325" s="143" t="str">
        <f>IFERROR(IF(C_S_Digital[[#This Row],[Código riesgo]]&lt;&gt;C324,_xlfn.XLOOKUP(C325,R_S_Digital[Código Riesgo],#REF!,,0)*IF(C_S_Digital[[#This Row],[Efecto]]="Probabilidad",1-C_S_Digital[[#This Row],[Peso]],1),IF(C_S_Digital[[#This Row],[Efecto]]="Probabilidad",U324*(1-C_S_Digital[[#This Row],[Peso]]),U324)),"")</f>
        <v/>
      </c>
      <c r="V325" s="144" t="str">
        <f>IFERROR(IF(C_S_Digital[[#This Row],[Código riesgo]]&lt;&gt;C324,_xlfn.XLOOKUP(C_S_Digital[[#This Row],[Código riesgo]],R_S_Digital[Código Riesgo],#REF!,,0)*IF(C_S_Digital[[#This Row],[Efecto]]="Impacto",1-C_S_Digital[[#This Row],[Peso]],1),IF(C_S_Digital[[#This Row],[Efecto]]="Impacto",V324*(1-C_S_Digital[[#This Row],[Peso]]),V324)),"")</f>
        <v/>
      </c>
    </row>
    <row r="326" spans="1:22" x14ac:dyDescent="0.25">
      <c r="A326" s="3">
        <v>321</v>
      </c>
      <c r="B326" s="85">
        <f>Mapa_RSD!B304</f>
        <v>0</v>
      </c>
      <c r="C326" s="136" t="e">
        <f>+R_S_Digital[[#This Row],[Código Riesgo]]</f>
        <v>#VALUE!</v>
      </c>
      <c r="D326" s="2"/>
      <c r="E326" s="141" t="str">
        <f>IF(C_S_Digital[[#This Row],[Responsable de ejecutar]]&lt;&gt;"",CONCATENATE(C_S_Digital[[#This Row],[Código riesgo]],"-",IF(C_S_Digital[[#This Row],[Código riesgo]]&lt;&gt;C325,1,RIGHT(E325,1)+1)),"")</f>
        <v/>
      </c>
      <c r="F326" s="147"/>
      <c r="G326" s="147"/>
      <c r="H326" s="147"/>
      <c r="I326" s="141" t="s">
        <v>105</v>
      </c>
      <c r="J326" s="141" t="s">
        <v>65</v>
      </c>
      <c r="K326" s="3"/>
      <c r="L326" s="3"/>
      <c r="M326" s="3"/>
      <c r="N326" s="3"/>
      <c r="O326" s="2"/>
      <c r="Q326" s="148"/>
      <c r="R326" s="148"/>
      <c r="S326" s="137">
        <f>_xlfn.XLOOKUP(CONCATENATE(C_S_Digital[[#This Row],[Momento de ejecución]],C_S_Digital[[#This Row],[Forma de ejecución]]),C_Atributos,C_Peso,"",0)</f>
        <v>0.25</v>
      </c>
      <c r="T326" s="141" t="str">
        <f>IFERROR(_xlfn.XLOOKUP(C_S_Digital[[#This Row],[Momento de ejecución]],C_Momento,C_Efecto,,0),"")</f>
        <v>Impacto</v>
      </c>
      <c r="U326" s="143" t="str">
        <f>IFERROR(IF(C_S_Digital[[#This Row],[Código riesgo]]&lt;&gt;C325,_xlfn.XLOOKUP(C326,R_S_Digital[Código Riesgo],#REF!,,0)*IF(C_S_Digital[[#This Row],[Efecto]]="Probabilidad",1-C_S_Digital[[#This Row],[Peso]],1),IF(C_S_Digital[[#This Row],[Efecto]]="Probabilidad",U325*(1-C_S_Digital[[#This Row],[Peso]]),U325)),"")</f>
        <v/>
      </c>
      <c r="V326" s="144" t="str">
        <f>IFERROR(IF(C_S_Digital[[#This Row],[Código riesgo]]&lt;&gt;C325,_xlfn.XLOOKUP(C_S_Digital[[#This Row],[Código riesgo]],R_S_Digital[Código Riesgo],#REF!,,0)*IF(C_S_Digital[[#This Row],[Efecto]]="Impacto",1-C_S_Digital[[#This Row],[Peso]],1),IF(C_S_Digital[[#This Row],[Efecto]]="Impacto",V325*(1-C_S_Digital[[#This Row],[Peso]]),V325)),"")</f>
        <v/>
      </c>
    </row>
    <row r="327" spans="1:22" x14ac:dyDescent="0.25">
      <c r="A327" s="3">
        <v>322</v>
      </c>
      <c r="B327" s="85">
        <f>Mapa_RSD!B305</f>
        <v>0</v>
      </c>
      <c r="C327" s="136" t="e">
        <f>+R_S_Digital[[#This Row],[Código Riesgo]]</f>
        <v>#VALUE!</v>
      </c>
      <c r="D327" s="2"/>
      <c r="E327" s="141" t="str">
        <f>IF(C_S_Digital[[#This Row],[Responsable de ejecutar]]&lt;&gt;"",CONCATENATE(C_S_Digital[[#This Row],[Código riesgo]],"-",IF(C_S_Digital[[#This Row],[Código riesgo]]&lt;&gt;C326,1,RIGHT(E326,1)+1)),"")</f>
        <v/>
      </c>
      <c r="F327" s="147"/>
      <c r="G327" s="147"/>
      <c r="H327" s="147"/>
      <c r="I327" s="141" t="s">
        <v>105</v>
      </c>
      <c r="J327" s="141" t="s">
        <v>65</v>
      </c>
      <c r="K327" s="3"/>
      <c r="L327" s="3"/>
      <c r="M327" s="3"/>
      <c r="N327" s="3"/>
      <c r="O327" s="2"/>
      <c r="Q327" s="148"/>
      <c r="R327" s="148"/>
      <c r="S327" s="137">
        <f>_xlfn.XLOOKUP(CONCATENATE(C_S_Digital[[#This Row],[Momento de ejecución]],C_S_Digital[[#This Row],[Forma de ejecución]]),C_Atributos,C_Peso,"",0)</f>
        <v>0.25</v>
      </c>
      <c r="T327" s="141" t="str">
        <f>IFERROR(_xlfn.XLOOKUP(C_S_Digital[[#This Row],[Momento de ejecución]],C_Momento,C_Efecto,,0),"")</f>
        <v>Impacto</v>
      </c>
      <c r="U327" s="143" t="str">
        <f>IFERROR(IF(C_S_Digital[[#This Row],[Código riesgo]]&lt;&gt;C326,_xlfn.XLOOKUP(C327,R_S_Digital[Código Riesgo],#REF!,,0)*IF(C_S_Digital[[#This Row],[Efecto]]="Probabilidad",1-C_S_Digital[[#This Row],[Peso]],1),IF(C_S_Digital[[#This Row],[Efecto]]="Probabilidad",U326*(1-C_S_Digital[[#This Row],[Peso]]),U326)),"")</f>
        <v/>
      </c>
      <c r="V327" s="144" t="str">
        <f>IFERROR(IF(C_S_Digital[[#This Row],[Código riesgo]]&lt;&gt;C326,_xlfn.XLOOKUP(C_S_Digital[[#This Row],[Código riesgo]],R_S_Digital[Código Riesgo],#REF!,,0)*IF(C_S_Digital[[#This Row],[Efecto]]="Impacto",1-C_S_Digital[[#This Row],[Peso]],1),IF(C_S_Digital[[#This Row],[Efecto]]="Impacto",V326*(1-C_S_Digital[[#This Row],[Peso]]),V326)),"")</f>
        <v/>
      </c>
    </row>
    <row r="328" spans="1:22" x14ac:dyDescent="0.25">
      <c r="A328" s="3">
        <v>323</v>
      </c>
      <c r="B328" s="85">
        <f>Mapa_RSD!B306</f>
        <v>0</v>
      </c>
      <c r="C328" s="136" t="e">
        <f>+R_S_Digital[[#This Row],[Código Riesgo]]</f>
        <v>#VALUE!</v>
      </c>
      <c r="D328" s="2"/>
      <c r="E328" s="141" t="str">
        <f>IF(C_S_Digital[[#This Row],[Responsable de ejecutar]]&lt;&gt;"",CONCATENATE(C_S_Digital[[#This Row],[Código riesgo]],"-",IF(C_S_Digital[[#This Row],[Código riesgo]]&lt;&gt;C327,1,RIGHT(E327,1)+1)),"")</f>
        <v/>
      </c>
      <c r="F328" s="147"/>
      <c r="G328" s="147"/>
      <c r="H328" s="147"/>
      <c r="I328" s="141" t="s">
        <v>105</v>
      </c>
      <c r="J328" s="141" t="s">
        <v>65</v>
      </c>
      <c r="K328" s="3"/>
      <c r="L328" s="3"/>
      <c r="M328" s="3"/>
      <c r="N328" s="3"/>
      <c r="O328" s="2"/>
      <c r="Q328" s="148"/>
      <c r="R328" s="148"/>
      <c r="S328" s="137">
        <f>_xlfn.XLOOKUP(CONCATENATE(C_S_Digital[[#This Row],[Momento de ejecución]],C_S_Digital[[#This Row],[Forma de ejecución]]),C_Atributos,C_Peso,"",0)</f>
        <v>0.25</v>
      </c>
      <c r="T328" s="141" t="str">
        <f>IFERROR(_xlfn.XLOOKUP(C_S_Digital[[#This Row],[Momento de ejecución]],C_Momento,C_Efecto,,0),"")</f>
        <v>Impacto</v>
      </c>
      <c r="U328" s="143" t="str">
        <f>IFERROR(IF(C_S_Digital[[#This Row],[Código riesgo]]&lt;&gt;C327,_xlfn.XLOOKUP(C328,R_S_Digital[Código Riesgo],#REF!,,0)*IF(C_S_Digital[[#This Row],[Efecto]]="Probabilidad",1-C_S_Digital[[#This Row],[Peso]],1),IF(C_S_Digital[[#This Row],[Efecto]]="Probabilidad",U327*(1-C_S_Digital[[#This Row],[Peso]]),U327)),"")</f>
        <v/>
      </c>
      <c r="V328" s="144" t="str">
        <f>IFERROR(IF(C_S_Digital[[#This Row],[Código riesgo]]&lt;&gt;C327,_xlfn.XLOOKUP(C_S_Digital[[#This Row],[Código riesgo]],R_S_Digital[Código Riesgo],#REF!,,0)*IF(C_S_Digital[[#This Row],[Efecto]]="Impacto",1-C_S_Digital[[#This Row],[Peso]],1),IF(C_S_Digital[[#This Row],[Efecto]]="Impacto",V327*(1-C_S_Digital[[#This Row],[Peso]]),V327)),"")</f>
        <v/>
      </c>
    </row>
    <row r="329" spans="1:22" x14ac:dyDescent="0.25">
      <c r="A329" s="3">
        <v>324</v>
      </c>
      <c r="B329" s="85">
        <f>Mapa_RSD!B307</f>
        <v>0</v>
      </c>
      <c r="C329" s="136" t="e">
        <f>+R_S_Digital[[#This Row],[Código Riesgo]]</f>
        <v>#VALUE!</v>
      </c>
      <c r="D329" s="2"/>
      <c r="E329" s="141" t="str">
        <f>IF(C_S_Digital[[#This Row],[Responsable de ejecutar]]&lt;&gt;"",CONCATENATE(C_S_Digital[[#This Row],[Código riesgo]],"-",IF(C_S_Digital[[#This Row],[Código riesgo]]&lt;&gt;C328,1,RIGHT(E328,1)+1)),"")</f>
        <v/>
      </c>
      <c r="F329" s="147"/>
      <c r="G329" s="147"/>
      <c r="H329" s="147"/>
      <c r="I329" s="141" t="s">
        <v>105</v>
      </c>
      <c r="J329" s="141" t="s">
        <v>65</v>
      </c>
      <c r="K329" s="3"/>
      <c r="L329" s="3"/>
      <c r="M329" s="3"/>
      <c r="N329" s="3"/>
      <c r="O329" s="2"/>
      <c r="Q329" s="148"/>
      <c r="R329" s="148"/>
      <c r="S329" s="137">
        <f>_xlfn.XLOOKUP(CONCATENATE(C_S_Digital[[#This Row],[Momento de ejecución]],C_S_Digital[[#This Row],[Forma de ejecución]]),C_Atributos,C_Peso,"",0)</f>
        <v>0.25</v>
      </c>
      <c r="T329" s="141" t="str">
        <f>IFERROR(_xlfn.XLOOKUP(C_S_Digital[[#This Row],[Momento de ejecución]],C_Momento,C_Efecto,,0),"")</f>
        <v>Impacto</v>
      </c>
      <c r="U329" s="143" t="str">
        <f>IFERROR(IF(C_S_Digital[[#This Row],[Código riesgo]]&lt;&gt;C328,_xlfn.XLOOKUP(C329,R_S_Digital[Código Riesgo],#REF!,,0)*IF(C_S_Digital[[#This Row],[Efecto]]="Probabilidad",1-C_S_Digital[[#This Row],[Peso]],1),IF(C_S_Digital[[#This Row],[Efecto]]="Probabilidad",U328*(1-C_S_Digital[[#This Row],[Peso]]),U328)),"")</f>
        <v/>
      </c>
      <c r="V329" s="144" t="str">
        <f>IFERROR(IF(C_S_Digital[[#This Row],[Código riesgo]]&lt;&gt;C328,_xlfn.XLOOKUP(C_S_Digital[[#This Row],[Código riesgo]],R_S_Digital[Código Riesgo],#REF!,,0)*IF(C_S_Digital[[#This Row],[Efecto]]="Impacto",1-C_S_Digital[[#This Row],[Peso]],1),IF(C_S_Digital[[#This Row],[Efecto]]="Impacto",V328*(1-C_S_Digital[[#This Row],[Peso]]),V328)),"")</f>
        <v/>
      </c>
    </row>
    <row r="330" spans="1:22" x14ac:dyDescent="0.25">
      <c r="A330" s="3">
        <v>325</v>
      </c>
      <c r="B330" s="85">
        <f>Mapa_RSD!B308</f>
        <v>0</v>
      </c>
      <c r="C330" s="136" t="e">
        <f>+R_S_Digital[[#This Row],[Código Riesgo]]</f>
        <v>#VALUE!</v>
      </c>
      <c r="D330" s="2"/>
      <c r="E330" s="141" t="str">
        <f>IF(C_S_Digital[[#This Row],[Responsable de ejecutar]]&lt;&gt;"",CONCATENATE(C_S_Digital[[#This Row],[Código riesgo]],"-",IF(C_S_Digital[[#This Row],[Código riesgo]]&lt;&gt;C329,1,RIGHT(E329,1)+1)),"")</f>
        <v/>
      </c>
      <c r="F330" s="147"/>
      <c r="G330" s="147"/>
      <c r="H330" s="147"/>
      <c r="I330" s="141" t="s">
        <v>105</v>
      </c>
      <c r="J330" s="141" t="s">
        <v>65</v>
      </c>
      <c r="K330" s="3"/>
      <c r="L330" s="3"/>
      <c r="M330" s="3"/>
      <c r="N330" s="3"/>
      <c r="O330" s="2"/>
      <c r="Q330" s="148"/>
      <c r="R330" s="148"/>
      <c r="S330" s="137">
        <f>_xlfn.XLOOKUP(CONCATENATE(C_S_Digital[[#This Row],[Momento de ejecución]],C_S_Digital[[#This Row],[Forma de ejecución]]),C_Atributos,C_Peso,"",0)</f>
        <v>0.25</v>
      </c>
      <c r="T330" s="141" t="str">
        <f>IFERROR(_xlfn.XLOOKUP(C_S_Digital[[#This Row],[Momento de ejecución]],C_Momento,C_Efecto,,0),"")</f>
        <v>Impacto</v>
      </c>
      <c r="U330" s="143" t="str">
        <f>IFERROR(IF(C_S_Digital[[#This Row],[Código riesgo]]&lt;&gt;C329,_xlfn.XLOOKUP(C330,R_S_Digital[Código Riesgo],#REF!,,0)*IF(C_S_Digital[[#This Row],[Efecto]]="Probabilidad",1-C_S_Digital[[#This Row],[Peso]],1),IF(C_S_Digital[[#This Row],[Efecto]]="Probabilidad",U329*(1-C_S_Digital[[#This Row],[Peso]]),U329)),"")</f>
        <v/>
      </c>
      <c r="V330" s="144" t="str">
        <f>IFERROR(IF(C_S_Digital[[#This Row],[Código riesgo]]&lt;&gt;C329,_xlfn.XLOOKUP(C_S_Digital[[#This Row],[Código riesgo]],R_S_Digital[Código Riesgo],#REF!,,0)*IF(C_S_Digital[[#This Row],[Efecto]]="Impacto",1-C_S_Digital[[#This Row],[Peso]],1),IF(C_S_Digital[[#This Row],[Efecto]]="Impacto",V329*(1-C_S_Digital[[#This Row],[Peso]]),V329)),"")</f>
        <v/>
      </c>
    </row>
    <row r="331" spans="1:22" x14ac:dyDescent="0.25">
      <c r="A331" s="3">
        <v>326</v>
      </c>
      <c r="B331" s="85">
        <f>Mapa_RSD!B309</f>
        <v>0</v>
      </c>
      <c r="C331" s="136" t="e">
        <f>+R_S_Digital[[#This Row],[Código Riesgo]]</f>
        <v>#VALUE!</v>
      </c>
      <c r="D331" s="2"/>
      <c r="E331" s="141" t="str">
        <f>IF(C_S_Digital[[#This Row],[Responsable de ejecutar]]&lt;&gt;"",CONCATENATE(C_S_Digital[[#This Row],[Código riesgo]],"-",IF(C_S_Digital[[#This Row],[Código riesgo]]&lt;&gt;C330,1,RIGHT(E330,1)+1)),"")</f>
        <v/>
      </c>
      <c r="F331" s="147"/>
      <c r="G331" s="147"/>
      <c r="H331" s="147"/>
      <c r="I331" s="141" t="s">
        <v>105</v>
      </c>
      <c r="J331" s="141" t="s">
        <v>65</v>
      </c>
      <c r="K331" s="3"/>
      <c r="L331" s="3"/>
      <c r="M331" s="3"/>
      <c r="N331" s="3"/>
      <c r="O331" s="2"/>
      <c r="Q331" s="148"/>
      <c r="R331" s="148"/>
      <c r="S331" s="137">
        <f>_xlfn.XLOOKUP(CONCATENATE(C_S_Digital[[#This Row],[Momento de ejecución]],C_S_Digital[[#This Row],[Forma de ejecución]]),C_Atributos,C_Peso,"",0)</f>
        <v>0.25</v>
      </c>
      <c r="T331" s="141" t="str">
        <f>IFERROR(_xlfn.XLOOKUP(C_S_Digital[[#This Row],[Momento de ejecución]],C_Momento,C_Efecto,,0),"")</f>
        <v>Impacto</v>
      </c>
      <c r="U331" s="143" t="str">
        <f>IFERROR(IF(C_S_Digital[[#This Row],[Código riesgo]]&lt;&gt;C330,_xlfn.XLOOKUP(C331,R_S_Digital[Código Riesgo],#REF!,,0)*IF(C_S_Digital[[#This Row],[Efecto]]="Probabilidad",1-C_S_Digital[[#This Row],[Peso]],1),IF(C_S_Digital[[#This Row],[Efecto]]="Probabilidad",U330*(1-C_S_Digital[[#This Row],[Peso]]),U330)),"")</f>
        <v/>
      </c>
      <c r="V331" s="144" t="str">
        <f>IFERROR(IF(C_S_Digital[[#This Row],[Código riesgo]]&lt;&gt;C330,_xlfn.XLOOKUP(C_S_Digital[[#This Row],[Código riesgo]],R_S_Digital[Código Riesgo],#REF!,,0)*IF(C_S_Digital[[#This Row],[Efecto]]="Impacto",1-C_S_Digital[[#This Row],[Peso]],1),IF(C_S_Digital[[#This Row],[Efecto]]="Impacto",V330*(1-C_S_Digital[[#This Row],[Peso]]),V330)),"")</f>
        <v/>
      </c>
    </row>
    <row r="332" spans="1:22" x14ac:dyDescent="0.25">
      <c r="A332" s="3">
        <v>327</v>
      </c>
      <c r="B332" s="85">
        <f>Mapa_RSD!B310</f>
        <v>0</v>
      </c>
      <c r="C332" s="136" t="e">
        <f>+R_S_Digital[[#This Row],[Código Riesgo]]</f>
        <v>#VALUE!</v>
      </c>
      <c r="D332" s="2"/>
      <c r="E332" s="141" t="str">
        <f>IF(C_S_Digital[[#This Row],[Responsable de ejecutar]]&lt;&gt;"",CONCATENATE(C_S_Digital[[#This Row],[Código riesgo]],"-",IF(C_S_Digital[[#This Row],[Código riesgo]]&lt;&gt;C331,1,RIGHT(E331,1)+1)),"")</f>
        <v/>
      </c>
      <c r="F332" s="147"/>
      <c r="G332" s="147"/>
      <c r="H332" s="147"/>
      <c r="I332" s="141" t="s">
        <v>105</v>
      </c>
      <c r="J332" s="141" t="s">
        <v>65</v>
      </c>
      <c r="K332" s="3"/>
      <c r="L332" s="3"/>
      <c r="M332" s="3"/>
      <c r="N332" s="3"/>
      <c r="O332" s="2"/>
      <c r="Q332" s="148"/>
      <c r="R332" s="148"/>
      <c r="S332" s="137">
        <f>_xlfn.XLOOKUP(CONCATENATE(C_S_Digital[[#This Row],[Momento de ejecución]],C_S_Digital[[#This Row],[Forma de ejecución]]),C_Atributos,C_Peso,"",0)</f>
        <v>0.25</v>
      </c>
      <c r="T332" s="141" t="str">
        <f>IFERROR(_xlfn.XLOOKUP(C_S_Digital[[#This Row],[Momento de ejecución]],C_Momento,C_Efecto,,0),"")</f>
        <v>Impacto</v>
      </c>
      <c r="U332" s="143" t="str">
        <f>IFERROR(IF(C_S_Digital[[#This Row],[Código riesgo]]&lt;&gt;C331,_xlfn.XLOOKUP(C332,R_S_Digital[Código Riesgo],#REF!,,0)*IF(C_S_Digital[[#This Row],[Efecto]]="Probabilidad",1-C_S_Digital[[#This Row],[Peso]],1),IF(C_S_Digital[[#This Row],[Efecto]]="Probabilidad",U331*(1-C_S_Digital[[#This Row],[Peso]]),U331)),"")</f>
        <v/>
      </c>
      <c r="V332" s="144" t="str">
        <f>IFERROR(IF(C_S_Digital[[#This Row],[Código riesgo]]&lt;&gt;C331,_xlfn.XLOOKUP(C_S_Digital[[#This Row],[Código riesgo]],R_S_Digital[Código Riesgo],#REF!,,0)*IF(C_S_Digital[[#This Row],[Efecto]]="Impacto",1-C_S_Digital[[#This Row],[Peso]],1),IF(C_S_Digital[[#This Row],[Efecto]]="Impacto",V331*(1-C_S_Digital[[#This Row],[Peso]]),V331)),"")</f>
        <v/>
      </c>
    </row>
    <row r="333" spans="1:22" x14ac:dyDescent="0.25">
      <c r="A333" s="3">
        <v>328</v>
      </c>
      <c r="B333" s="85">
        <f>Mapa_RSD!B311</f>
        <v>0</v>
      </c>
      <c r="C333" s="136" t="e">
        <f>+R_S_Digital[[#This Row],[Código Riesgo]]</f>
        <v>#VALUE!</v>
      </c>
      <c r="D333" s="2"/>
      <c r="E333" s="141" t="str">
        <f>IF(C_S_Digital[[#This Row],[Responsable de ejecutar]]&lt;&gt;"",CONCATENATE(C_S_Digital[[#This Row],[Código riesgo]],"-",IF(C_S_Digital[[#This Row],[Código riesgo]]&lt;&gt;C332,1,RIGHT(E332,1)+1)),"")</f>
        <v/>
      </c>
      <c r="F333" s="147"/>
      <c r="G333" s="147"/>
      <c r="H333" s="147"/>
      <c r="I333" s="141" t="s">
        <v>105</v>
      </c>
      <c r="J333" s="141" t="s">
        <v>65</v>
      </c>
      <c r="K333" s="3"/>
      <c r="L333" s="3"/>
      <c r="M333" s="3"/>
      <c r="N333" s="3"/>
      <c r="O333" s="2"/>
      <c r="Q333" s="148"/>
      <c r="R333" s="148"/>
      <c r="S333" s="137">
        <f>_xlfn.XLOOKUP(CONCATENATE(C_S_Digital[[#This Row],[Momento de ejecución]],C_S_Digital[[#This Row],[Forma de ejecución]]),C_Atributos,C_Peso,"",0)</f>
        <v>0.25</v>
      </c>
      <c r="T333" s="141" t="str">
        <f>IFERROR(_xlfn.XLOOKUP(C_S_Digital[[#This Row],[Momento de ejecución]],C_Momento,C_Efecto,,0),"")</f>
        <v>Impacto</v>
      </c>
      <c r="U333" s="143" t="str">
        <f>IFERROR(IF(C_S_Digital[[#This Row],[Código riesgo]]&lt;&gt;C332,_xlfn.XLOOKUP(C333,R_S_Digital[Código Riesgo],#REF!,,0)*IF(C_S_Digital[[#This Row],[Efecto]]="Probabilidad",1-C_S_Digital[[#This Row],[Peso]],1),IF(C_S_Digital[[#This Row],[Efecto]]="Probabilidad",U332*(1-C_S_Digital[[#This Row],[Peso]]),U332)),"")</f>
        <v/>
      </c>
      <c r="V333" s="144" t="str">
        <f>IFERROR(IF(C_S_Digital[[#This Row],[Código riesgo]]&lt;&gt;C332,_xlfn.XLOOKUP(C_S_Digital[[#This Row],[Código riesgo]],R_S_Digital[Código Riesgo],#REF!,,0)*IF(C_S_Digital[[#This Row],[Efecto]]="Impacto",1-C_S_Digital[[#This Row],[Peso]],1),IF(C_S_Digital[[#This Row],[Efecto]]="Impacto",V332*(1-C_S_Digital[[#This Row],[Peso]]),V332)),"")</f>
        <v/>
      </c>
    </row>
    <row r="334" spans="1:22" x14ac:dyDescent="0.25">
      <c r="A334" s="3">
        <v>329</v>
      </c>
      <c r="B334" s="85">
        <f>Mapa_RSD!B312</f>
        <v>0</v>
      </c>
      <c r="C334" s="136" t="e">
        <f>+R_S_Digital[[#This Row],[Código Riesgo]]</f>
        <v>#VALUE!</v>
      </c>
      <c r="D334" s="2"/>
      <c r="E334" s="141" t="str">
        <f>IF(C_S_Digital[[#This Row],[Responsable de ejecutar]]&lt;&gt;"",CONCATENATE(C_S_Digital[[#This Row],[Código riesgo]],"-",IF(C_S_Digital[[#This Row],[Código riesgo]]&lt;&gt;C333,1,RIGHT(E333,1)+1)),"")</f>
        <v/>
      </c>
      <c r="F334" s="147"/>
      <c r="G334" s="147"/>
      <c r="H334" s="147"/>
      <c r="I334" s="141" t="s">
        <v>105</v>
      </c>
      <c r="J334" s="141" t="s">
        <v>65</v>
      </c>
      <c r="K334" s="3"/>
      <c r="L334" s="3"/>
      <c r="M334" s="3"/>
      <c r="N334" s="3"/>
      <c r="O334" s="2"/>
      <c r="Q334" s="148"/>
      <c r="R334" s="148"/>
      <c r="S334" s="137">
        <f>_xlfn.XLOOKUP(CONCATENATE(C_S_Digital[[#This Row],[Momento de ejecución]],C_S_Digital[[#This Row],[Forma de ejecución]]),C_Atributos,C_Peso,"",0)</f>
        <v>0.25</v>
      </c>
      <c r="T334" s="141" t="str">
        <f>IFERROR(_xlfn.XLOOKUP(C_S_Digital[[#This Row],[Momento de ejecución]],C_Momento,C_Efecto,,0),"")</f>
        <v>Impacto</v>
      </c>
      <c r="U334" s="143" t="str">
        <f>IFERROR(IF(C_S_Digital[[#This Row],[Código riesgo]]&lt;&gt;C333,_xlfn.XLOOKUP(C334,R_S_Digital[Código Riesgo],#REF!,,0)*IF(C_S_Digital[[#This Row],[Efecto]]="Probabilidad",1-C_S_Digital[[#This Row],[Peso]],1),IF(C_S_Digital[[#This Row],[Efecto]]="Probabilidad",U333*(1-C_S_Digital[[#This Row],[Peso]]),U333)),"")</f>
        <v/>
      </c>
      <c r="V334" s="144" t="str">
        <f>IFERROR(IF(C_S_Digital[[#This Row],[Código riesgo]]&lt;&gt;C333,_xlfn.XLOOKUP(C_S_Digital[[#This Row],[Código riesgo]],R_S_Digital[Código Riesgo],#REF!,,0)*IF(C_S_Digital[[#This Row],[Efecto]]="Impacto",1-C_S_Digital[[#This Row],[Peso]],1),IF(C_S_Digital[[#This Row],[Efecto]]="Impacto",V333*(1-C_S_Digital[[#This Row],[Peso]]),V333)),"")</f>
        <v/>
      </c>
    </row>
    <row r="335" spans="1:22" x14ac:dyDescent="0.25">
      <c r="A335" s="3">
        <v>330</v>
      </c>
      <c r="B335" s="85">
        <f>Mapa_RSD!B313</f>
        <v>0</v>
      </c>
      <c r="C335" s="136" t="e">
        <f>+R_S_Digital[[#This Row],[Código Riesgo]]</f>
        <v>#VALUE!</v>
      </c>
      <c r="D335" s="2"/>
      <c r="E335" s="141" t="str">
        <f>IF(C_S_Digital[[#This Row],[Responsable de ejecutar]]&lt;&gt;"",CONCATENATE(C_S_Digital[[#This Row],[Código riesgo]],"-",IF(C_S_Digital[[#This Row],[Código riesgo]]&lt;&gt;C334,1,RIGHT(E334,1)+1)),"")</f>
        <v/>
      </c>
      <c r="F335" s="147"/>
      <c r="G335" s="147"/>
      <c r="H335" s="147"/>
      <c r="I335" s="141" t="s">
        <v>105</v>
      </c>
      <c r="J335" s="141" t="s">
        <v>65</v>
      </c>
      <c r="K335" s="3"/>
      <c r="L335" s="3"/>
      <c r="M335" s="3"/>
      <c r="N335" s="3"/>
      <c r="O335" s="2"/>
      <c r="Q335" s="148"/>
      <c r="R335" s="148"/>
      <c r="S335" s="137">
        <f>_xlfn.XLOOKUP(CONCATENATE(C_S_Digital[[#This Row],[Momento de ejecución]],C_S_Digital[[#This Row],[Forma de ejecución]]),C_Atributos,C_Peso,"",0)</f>
        <v>0.25</v>
      </c>
      <c r="T335" s="141" t="str">
        <f>IFERROR(_xlfn.XLOOKUP(C_S_Digital[[#This Row],[Momento de ejecución]],C_Momento,C_Efecto,,0),"")</f>
        <v>Impacto</v>
      </c>
      <c r="U335" s="143" t="str">
        <f>IFERROR(IF(C_S_Digital[[#This Row],[Código riesgo]]&lt;&gt;C334,_xlfn.XLOOKUP(C335,R_S_Digital[Código Riesgo],#REF!,,0)*IF(C_S_Digital[[#This Row],[Efecto]]="Probabilidad",1-C_S_Digital[[#This Row],[Peso]],1),IF(C_S_Digital[[#This Row],[Efecto]]="Probabilidad",U334*(1-C_S_Digital[[#This Row],[Peso]]),U334)),"")</f>
        <v/>
      </c>
      <c r="V335" s="144" t="str">
        <f>IFERROR(IF(C_S_Digital[[#This Row],[Código riesgo]]&lt;&gt;C334,_xlfn.XLOOKUP(C_S_Digital[[#This Row],[Código riesgo]],R_S_Digital[Código Riesgo],#REF!,,0)*IF(C_S_Digital[[#This Row],[Efecto]]="Impacto",1-C_S_Digital[[#This Row],[Peso]],1),IF(C_S_Digital[[#This Row],[Efecto]]="Impacto",V334*(1-C_S_Digital[[#This Row],[Peso]]),V334)),"")</f>
        <v/>
      </c>
    </row>
    <row r="336" spans="1:22" x14ac:dyDescent="0.25">
      <c r="A336" s="3">
        <v>331</v>
      </c>
      <c r="B336" s="85">
        <f>Mapa_RSD!B314</f>
        <v>0</v>
      </c>
      <c r="C336" s="136" t="e">
        <f>+R_S_Digital[[#This Row],[Código Riesgo]]</f>
        <v>#VALUE!</v>
      </c>
      <c r="D336" s="2"/>
      <c r="E336" s="141" t="str">
        <f>IF(C_S_Digital[[#This Row],[Responsable de ejecutar]]&lt;&gt;"",CONCATENATE(C_S_Digital[[#This Row],[Código riesgo]],"-",IF(C_S_Digital[[#This Row],[Código riesgo]]&lt;&gt;C335,1,RIGHT(E335,1)+1)),"")</f>
        <v/>
      </c>
      <c r="F336" s="147"/>
      <c r="G336" s="147"/>
      <c r="H336" s="147"/>
      <c r="I336" s="141" t="s">
        <v>105</v>
      </c>
      <c r="J336" s="141" t="s">
        <v>65</v>
      </c>
      <c r="K336" s="3"/>
      <c r="L336" s="3"/>
      <c r="M336" s="3"/>
      <c r="N336" s="3"/>
      <c r="O336" s="2"/>
      <c r="Q336" s="148"/>
      <c r="R336" s="148"/>
      <c r="S336" s="137">
        <f>_xlfn.XLOOKUP(CONCATENATE(C_S_Digital[[#This Row],[Momento de ejecución]],C_S_Digital[[#This Row],[Forma de ejecución]]),C_Atributos,C_Peso,"",0)</f>
        <v>0.25</v>
      </c>
      <c r="T336" s="141" t="str">
        <f>IFERROR(_xlfn.XLOOKUP(C_S_Digital[[#This Row],[Momento de ejecución]],C_Momento,C_Efecto,,0),"")</f>
        <v>Impacto</v>
      </c>
      <c r="U336" s="143" t="str">
        <f>IFERROR(IF(C_S_Digital[[#This Row],[Código riesgo]]&lt;&gt;C335,_xlfn.XLOOKUP(C336,R_S_Digital[Código Riesgo],#REF!,,0)*IF(C_S_Digital[[#This Row],[Efecto]]="Probabilidad",1-C_S_Digital[[#This Row],[Peso]],1),IF(C_S_Digital[[#This Row],[Efecto]]="Probabilidad",U335*(1-C_S_Digital[[#This Row],[Peso]]),U335)),"")</f>
        <v/>
      </c>
      <c r="V336" s="144" t="str">
        <f>IFERROR(IF(C_S_Digital[[#This Row],[Código riesgo]]&lt;&gt;C335,_xlfn.XLOOKUP(C_S_Digital[[#This Row],[Código riesgo]],R_S_Digital[Código Riesgo],#REF!,,0)*IF(C_S_Digital[[#This Row],[Efecto]]="Impacto",1-C_S_Digital[[#This Row],[Peso]],1),IF(C_S_Digital[[#This Row],[Efecto]]="Impacto",V335*(1-C_S_Digital[[#This Row],[Peso]]),V335)),"")</f>
        <v/>
      </c>
    </row>
    <row r="337" spans="1:22" x14ac:dyDescent="0.25">
      <c r="A337" s="3">
        <v>332</v>
      </c>
      <c r="B337" s="85">
        <f>Mapa_RSD!B315</f>
        <v>0</v>
      </c>
      <c r="C337" s="136" t="e">
        <f>+R_S_Digital[[#This Row],[Código Riesgo]]</f>
        <v>#VALUE!</v>
      </c>
      <c r="D337" s="2"/>
      <c r="E337" s="141" t="str">
        <f>IF(C_S_Digital[[#This Row],[Responsable de ejecutar]]&lt;&gt;"",CONCATENATE(C_S_Digital[[#This Row],[Código riesgo]],"-",IF(C_S_Digital[[#This Row],[Código riesgo]]&lt;&gt;C336,1,RIGHT(E336,1)+1)),"")</f>
        <v/>
      </c>
      <c r="F337" s="147"/>
      <c r="G337" s="147"/>
      <c r="H337" s="147"/>
      <c r="I337" s="141" t="s">
        <v>105</v>
      </c>
      <c r="J337" s="141" t="s">
        <v>65</v>
      </c>
      <c r="K337" s="3"/>
      <c r="L337" s="3"/>
      <c r="M337" s="3"/>
      <c r="N337" s="3"/>
      <c r="O337" s="2"/>
      <c r="Q337" s="148"/>
      <c r="R337" s="148"/>
      <c r="S337" s="137">
        <f>_xlfn.XLOOKUP(CONCATENATE(C_S_Digital[[#This Row],[Momento de ejecución]],C_S_Digital[[#This Row],[Forma de ejecución]]),C_Atributos,C_Peso,"",0)</f>
        <v>0.25</v>
      </c>
      <c r="T337" s="141" t="str">
        <f>IFERROR(_xlfn.XLOOKUP(C_S_Digital[[#This Row],[Momento de ejecución]],C_Momento,C_Efecto,,0),"")</f>
        <v>Impacto</v>
      </c>
      <c r="U337" s="143" t="str">
        <f>IFERROR(IF(C_S_Digital[[#This Row],[Código riesgo]]&lt;&gt;C336,_xlfn.XLOOKUP(C337,R_S_Digital[Código Riesgo],#REF!,,0)*IF(C_S_Digital[[#This Row],[Efecto]]="Probabilidad",1-C_S_Digital[[#This Row],[Peso]],1),IF(C_S_Digital[[#This Row],[Efecto]]="Probabilidad",U336*(1-C_S_Digital[[#This Row],[Peso]]),U336)),"")</f>
        <v/>
      </c>
      <c r="V337" s="144" t="str">
        <f>IFERROR(IF(C_S_Digital[[#This Row],[Código riesgo]]&lt;&gt;C336,_xlfn.XLOOKUP(C_S_Digital[[#This Row],[Código riesgo]],R_S_Digital[Código Riesgo],#REF!,,0)*IF(C_S_Digital[[#This Row],[Efecto]]="Impacto",1-C_S_Digital[[#This Row],[Peso]],1),IF(C_S_Digital[[#This Row],[Efecto]]="Impacto",V336*(1-C_S_Digital[[#This Row],[Peso]]),V336)),"")</f>
        <v/>
      </c>
    </row>
    <row r="338" spans="1:22" x14ac:dyDescent="0.25">
      <c r="A338" s="3">
        <v>333</v>
      </c>
      <c r="B338" s="85">
        <f>Mapa_RSD!B316</f>
        <v>0</v>
      </c>
      <c r="C338" s="136" t="e">
        <f>+R_S_Digital[[#This Row],[Código Riesgo]]</f>
        <v>#VALUE!</v>
      </c>
      <c r="D338" s="2"/>
      <c r="E338" s="141" t="str">
        <f>IF(C_S_Digital[[#This Row],[Responsable de ejecutar]]&lt;&gt;"",CONCATENATE(C_S_Digital[[#This Row],[Código riesgo]],"-",IF(C_S_Digital[[#This Row],[Código riesgo]]&lt;&gt;C337,1,RIGHT(E337,1)+1)),"")</f>
        <v/>
      </c>
      <c r="F338" s="147"/>
      <c r="G338" s="147"/>
      <c r="H338" s="147"/>
      <c r="I338" s="141" t="s">
        <v>105</v>
      </c>
      <c r="J338" s="141" t="s">
        <v>65</v>
      </c>
      <c r="K338" s="3"/>
      <c r="L338" s="3"/>
      <c r="M338" s="3"/>
      <c r="N338" s="3"/>
      <c r="O338" s="2"/>
      <c r="Q338" s="148"/>
      <c r="R338" s="148"/>
      <c r="S338" s="137">
        <f>_xlfn.XLOOKUP(CONCATENATE(C_S_Digital[[#This Row],[Momento de ejecución]],C_S_Digital[[#This Row],[Forma de ejecución]]),C_Atributos,C_Peso,"",0)</f>
        <v>0.25</v>
      </c>
      <c r="T338" s="141" t="str">
        <f>IFERROR(_xlfn.XLOOKUP(C_S_Digital[[#This Row],[Momento de ejecución]],C_Momento,C_Efecto,,0),"")</f>
        <v>Impacto</v>
      </c>
      <c r="U338" s="143" t="str">
        <f>IFERROR(IF(C_S_Digital[[#This Row],[Código riesgo]]&lt;&gt;C337,_xlfn.XLOOKUP(C338,R_S_Digital[Código Riesgo],#REF!,,0)*IF(C_S_Digital[[#This Row],[Efecto]]="Probabilidad",1-C_S_Digital[[#This Row],[Peso]],1),IF(C_S_Digital[[#This Row],[Efecto]]="Probabilidad",U337*(1-C_S_Digital[[#This Row],[Peso]]),U337)),"")</f>
        <v/>
      </c>
      <c r="V338" s="144" t="str">
        <f>IFERROR(IF(C_S_Digital[[#This Row],[Código riesgo]]&lt;&gt;C337,_xlfn.XLOOKUP(C_S_Digital[[#This Row],[Código riesgo]],R_S_Digital[Código Riesgo],#REF!,,0)*IF(C_S_Digital[[#This Row],[Efecto]]="Impacto",1-C_S_Digital[[#This Row],[Peso]],1),IF(C_S_Digital[[#This Row],[Efecto]]="Impacto",V337*(1-C_S_Digital[[#This Row],[Peso]]),V337)),"")</f>
        <v/>
      </c>
    </row>
    <row r="339" spans="1:22" x14ac:dyDescent="0.25">
      <c r="A339" s="3">
        <v>334</v>
      </c>
      <c r="B339" s="85">
        <f>Mapa_RSD!B317</f>
        <v>0</v>
      </c>
      <c r="C339" s="136" t="e">
        <f>+R_S_Digital[[#This Row],[Código Riesgo]]</f>
        <v>#VALUE!</v>
      </c>
      <c r="D339" s="2"/>
      <c r="E339" s="141" t="str">
        <f>IF(C_S_Digital[[#This Row],[Responsable de ejecutar]]&lt;&gt;"",CONCATENATE(C_S_Digital[[#This Row],[Código riesgo]],"-",IF(C_S_Digital[[#This Row],[Código riesgo]]&lt;&gt;C338,1,RIGHT(E338,1)+1)),"")</f>
        <v/>
      </c>
      <c r="F339" s="147"/>
      <c r="G339" s="147"/>
      <c r="H339" s="147"/>
      <c r="I339" s="141" t="s">
        <v>105</v>
      </c>
      <c r="J339" s="141" t="s">
        <v>65</v>
      </c>
      <c r="K339" s="3"/>
      <c r="L339" s="3"/>
      <c r="M339" s="3"/>
      <c r="N339" s="3"/>
      <c r="O339" s="2"/>
      <c r="Q339" s="148"/>
      <c r="R339" s="148"/>
      <c r="S339" s="137">
        <f>_xlfn.XLOOKUP(CONCATENATE(C_S_Digital[[#This Row],[Momento de ejecución]],C_S_Digital[[#This Row],[Forma de ejecución]]),C_Atributos,C_Peso,"",0)</f>
        <v>0.25</v>
      </c>
      <c r="T339" s="141" t="str">
        <f>IFERROR(_xlfn.XLOOKUP(C_S_Digital[[#This Row],[Momento de ejecución]],C_Momento,C_Efecto,,0),"")</f>
        <v>Impacto</v>
      </c>
      <c r="U339" s="143" t="str">
        <f>IFERROR(IF(C_S_Digital[[#This Row],[Código riesgo]]&lt;&gt;C338,_xlfn.XLOOKUP(C339,R_S_Digital[Código Riesgo],#REF!,,0)*IF(C_S_Digital[[#This Row],[Efecto]]="Probabilidad",1-C_S_Digital[[#This Row],[Peso]],1),IF(C_S_Digital[[#This Row],[Efecto]]="Probabilidad",U338*(1-C_S_Digital[[#This Row],[Peso]]),U338)),"")</f>
        <v/>
      </c>
      <c r="V339" s="144" t="str">
        <f>IFERROR(IF(C_S_Digital[[#This Row],[Código riesgo]]&lt;&gt;C338,_xlfn.XLOOKUP(C_S_Digital[[#This Row],[Código riesgo]],R_S_Digital[Código Riesgo],#REF!,,0)*IF(C_S_Digital[[#This Row],[Efecto]]="Impacto",1-C_S_Digital[[#This Row],[Peso]],1),IF(C_S_Digital[[#This Row],[Efecto]]="Impacto",V338*(1-C_S_Digital[[#This Row],[Peso]]),V338)),"")</f>
        <v/>
      </c>
    </row>
    <row r="340" spans="1:22" x14ac:dyDescent="0.25">
      <c r="A340" s="3">
        <v>335</v>
      </c>
      <c r="B340" s="85">
        <f>Mapa_RSD!B318</f>
        <v>0</v>
      </c>
      <c r="C340" s="136" t="e">
        <f>+R_S_Digital[[#This Row],[Código Riesgo]]</f>
        <v>#VALUE!</v>
      </c>
      <c r="D340" s="2"/>
      <c r="E340" s="141" t="str">
        <f>IF(C_S_Digital[[#This Row],[Responsable de ejecutar]]&lt;&gt;"",CONCATENATE(C_S_Digital[[#This Row],[Código riesgo]],"-",IF(C_S_Digital[[#This Row],[Código riesgo]]&lt;&gt;C339,1,RIGHT(E339,1)+1)),"")</f>
        <v/>
      </c>
      <c r="F340" s="147"/>
      <c r="G340" s="147"/>
      <c r="H340" s="147"/>
      <c r="I340" s="141" t="s">
        <v>105</v>
      </c>
      <c r="J340" s="141" t="s">
        <v>65</v>
      </c>
      <c r="K340" s="3"/>
      <c r="L340" s="3"/>
      <c r="M340" s="3"/>
      <c r="N340" s="3"/>
      <c r="O340" s="2"/>
      <c r="Q340" s="148"/>
      <c r="R340" s="148"/>
      <c r="S340" s="137">
        <f>_xlfn.XLOOKUP(CONCATENATE(C_S_Digital[[#This Row],[Momento de ejecución]],C_S_Digital[[#This Row],[Forma de ejecución]]),C_Atributos,C_Peso,"",0)</f>
        <v>0.25</v>
      </c>
      <c r="T340" s="141" t="str">
        <f>IFERROR(_xlfn.XLOOKUP(C_S_Digital[[#This Row],[Momento de ejecución]],C_Momento,C_Efecto,,0),"")</f>
        <v>Impacto</v>
      </c>
      <c r="U340" s="143" t="str">
        <f>IFERROR(IF(C_S_Digital[[#This Row],[Código riesgo]]&lt;&gt;C339,_xlfn.XLOOKUP(C340,R_S_Digital[Código Riesgo],#REF!,,0)*IF(C_S_Digital[[#This Row],[Efecto]]="Probabilidad",1-C_S_Digital[[#This Row],[Peso]],1),IF(C_S_Digital[[#This Row],[Efecto]]="Probabilidad",U339*(1-C_S_Digital[[#This Row],[Peso]]),U339)),"")</f>
        <v/>
      </c>
      <c r="V340" s="144" t="str">
        <f>IFERROR(IF(C_S_Digital[[#This Row],[Código riesgo]]&lt;&gt;C339,_xlfn.XLOOKUP(C_S_Digital[[#This Row],[Código riesgo]],R_S_Digital[Código Riesgo],#REF!,,0)*IF(C_S_Digital[[#This Row],[Efecto]]="Impacto",1-C_S_Digital[[#This Row],[Peso]],1),IF(C_S_Digital[[#This Row],[Efecto]]="Impacto",V339*(1-C_S_Digital[[#This Row],[Peso]]),V339)),"")</f>
        <v/>
      </c>
    </row>
    <row r="341" spans="1:22" x14ac:dyDescent="0.25">
      <c r="A341" s="3">
        <v>336</v>
      </c>
      <c r="B341" s="85">
        <f>Mapa_RSD!B319</f>
        <v>0</v>
      </c>
      <c r="C341" s="136" t="e">
        <f>+R_S_Digital[[#This Row],[Código Riesgo]]</f>
        <v>#VALUE!</v>
      </c>
      <c r="D341" s="2"/>
      <c r="E341" s="141" t="str">
        <f>IF(C_S_Digital[[#This Row],[Responsable de ejecutar]]&lt;&gt;"",CONCATENATE(C_S_Digital[[#This Row],[Código riesgo]],"-",IF(C_S_Digital[[#This Row],[Código riesgo]]&lt;&gt;C340,1,RIGHT(E340,1)+1)),"")</f>
        <v/>
      </c>
      <c r="F341" s="147"/>
      <c r="G341" s="147"/>
      <c r="H341" s="147"/>
      <c r="I341" s="141" t="s">
        <v>105</v>
      </c>
      <c r="J341" s="141" t="s">
        <v>65</v>
      </c>
      <c r="K341" s="3"/>
      <c r="L341" s="3"/>
      <c r="M341" s="3"/>
      <c r="N341" s="3"/>
      <c r="O341" s="2"/>
      <c r="Q341" s="148"/>
      <c r="R341" s="148"/>
      <c r="S341" s="137">
        <f>_xlfn.XLOOKUP(CONCATENATE(C_S_Digital[[#This Row],[Momento de ejecución]],C_S_Digital[[#This Row],[Forma de ejecución]]),C_Atributos,C_Peso,"",0)</f>
        <v>0.25</v>
      </c>
      <c r="T341" s="141" t="str">
        <f>IFERROR(_xlfn.XLOOKUP(C_S_Digital[[#This Row],[Momento de ejecución]],C_Momento,C_Efecto,,0),"")</f>
        <v>Impacto</v>
      </c>
      <c r="U341" s="143" t="str">
        <f>IFERROR(IF(C_S_Digital[[#This Row],[Código riesgo]]&lt;&gt;C340,_xlfn.XLOOKUP(C341,R_S_Digital[Código Riesgo],#REF!,,0)*IF(C_S_Digital[[#This Row],[Efecto]]="Probabilidad",1-C_S_Digital[[#This Row],[Peso]],1),IF(C_S_Digital[[#This Row],[Efecto]]="Probabilidad",U340*(1-C_S_Digital[[#This Row],[Peso]]),U340)),"")</f>
        <v/>
      </c>
      <c r="V341" s="144" t="str">
        <f>IFERROR(IF(C_S_Digital[[#This Row],[Código riesgo]]&lt;&gt;C340,_xlfn.XLOOKUP(C_S_Digital[[#This Row],[Código riesgo]],R_S_Digital[Código Riesgo],#REF!,,0)*IF(C_S_Digital[[#This Row],[Efecto]]="Impacto",1-C_S_Digital[[#This Row],[Peso]],1),IF(C_S_Digital[[#This Row],[Efecto]]="Impacto",V340*(1-C_S_Digital[[#This Row],[Peso]]),V340)),"")</f>
        <v/>
      </c>
    </row>
    <row r="342" spans="1:22" x14ac:dyDescent="0.25">
      <c r="A342" s="3">
        <v>337</v>
      </c>
      <c r="B342" s="85">
        <f>Mapa_RSD!B320</f>
        <v>0</v>
      </c>
      <c r="C342" s="136" t="e">
        <f>+R_S_Digital[[#This Row],[Código Riesgo]]</f>
        <v>#VALUE!</v>
      </c>
      <c r="D342" s="2"/>
      <c r="E342" s="141" t="str">
        <f>IF(C_S_Digital[[#This Row],[Responsable de ejecutar]]&lt;&gt;"",CONCATENATE(C_S_Digital[[#This Row],[Código riesgo]],"-",IF(C_S_Digital[[#This Row],[Código riesgo]]&lt;&gt;C341,1,RIGHT(E341,1)+1)),"")</f>
        <v/>
      </c>
      <c r="F342" s="147"/>
      <c r="G342" s="147"/>
      <c r="H342" s="147"/>
      <c r="I342" s="141" t="s">
        <v>105</v>
      </c>
      <c r="J342" s="141" t="s">
        <v>65</v>
      </c>
      <c r="K342" s="3"/>
      <c r="L342" s="3"/>
      <c r="M342" s="3"/>
      <c r="N342" s="3"/>
      <c r="O342" s="2"/>
      <c r="Q342" s="148"/>
      <c r="R342" s="148"/>
      <c r="S342" s="137">
        <f>_xlfn.XLOOKUP(CONCATENATE(C_S_Digital[[#This Row],[Momento de ejecución]],C_S_Digital[[#This Row],[Forma de ejecución]]),C_Atributos,C_Peso,"",0)</f>
        <v>0.25</v>
      </c>
      <c r="T342" s="141" t="str">
        <f>IFERROR(_xlfn.XLOOKUP(C_S_Digital[[#This Row],[Momento de ejecución]],C_Momento,C_Efecto,,0),"")</f>
        <v>Impacto</v>
      </c>
      <c r="U342" s="143" t="str">
        <f>IFERROR(IF(C_S_Digital[[#This Row],[Código riesgo]]&lt;&gt;C341,_xlfn.XLOOKUP(C342,R_S_Digital[Código Riesgo],#REF!,,0)*IF(C_S_Digital[[#This Row],[Efecto]]="Probabilidad",1-C_S_Digital[[#This Row],[Peso]],1),IF(C_S_Digital[[#This Row],[Efecto]]="Probabilidad",U341*(1-C_S_Digital[[#This Row],[Peso]]),U341)),"")</f>
        <v/>
      </c>
      <c r="V342" s="144" t="str">
        <f>IFERROR(IF(C_S_Digital[[#This Row],[Código riesgo]]&lt;&gt;C341,_xlfn.XLOOKUP(C_S_Digital[[#This Row],[Código riesgo]],R_S_Digital[Código Riesgo],#REF!,,0)*IF(C_S_Digital[[#This Row],[Efecto]]="Impacto",1-C_S_Digital[[#This Row],[Peso]],1),IF(C_S_Digital[[#This Row],[Efecto]]="Impacto",V341*(1-C_S_Digital[[#This Row],[Peso]]),V341)),"")</f>
        <v/>
      </c>
    </row>
    <row r="343" spans="1:22" x14ac:dyDescent="0.25">
      <c r="A343" s="3">
        <v>338</v>
      </c>
      <c r="B343" s="85">
        <f>Mapa_RSD!B321</f>
        <v>0</v>
      </c>
      <c r="C343" s="136" t="e">
        <f>+R_S_Digital[[#This Row],[Código Riesgo]]</f>
        <v>#VALUE!</v>
      </c>
      <c r="D343" s="2"/>
      <c r="E343" s="141" t="str">
        <f>IF(C_S_Digital[[#This Row],[Responsable de ejecutar]]&lt;&gt;"",CONCATENATE(C_S_Digital[[#This Row],[Código riesgo]],"-",IF(C_S_Digital[[#This Row],[Código riesgo]]&lt;&gt;C342,1,RIGHT(E342,1)+1)),"")</f>
        <v/>
      </c>
      <c r="F343" s="147"/>
      <c r="G343" s="147"/>
      <c r="H343" s="147"/>
      <c r="I343" s="141" t="s">
        <v>105</v>
      </c>
      <c r="J343" s="141" t="s">
        <v>65</v>
      </c>
      <c r="K343" s="3"/>
      <c r="L343" s="3"/>
      <c r="M343" s="3"/>
      <c r="N343" s="3"/>
      <c r="O343" s="2"/>
      <c r="Q343" s="148"/>
      <c r="R343" s="148"/>
      <c r="S343" s="137">
        <f>_xlfn.XLOOKUP(CONCATENATE(C_S_Digital[[#This Row],[Momento de ejecución]],C_S_Digital[[#This Row],[Forma de ejecución]]),C_Atributos,C_Peso,"",0)</f>
        <v>0.25</v>
      </c>
      <c r="T343" s="141" t="str">
        <f>IFERROR(_xlfn.XLOOKUP(C_S_Digital[[#This Row],[Momento de ejecución]],C_Momento,C_Efecto,,0),"")</f>
        <v>Impacto</v>
      </c>
      <c r="U343" s="143" t="str">
        <f>IFERROR(IF(C_S_Digital[[#This Row],[Código riesgo]]&lt;&gt;C342,_xlfn.XLOOKUP(C343,R_S_Digital[Código Riesgo],#REF!,,0)*IF(C_S_Digital[[#This Row],[Efecto]]="Probabilidad",1-C_S_Digital[[#This Row],[Peso]],1),IF(C_S_Digital[[#This Row],[Efecto]]="Probabilidad",U342*(1-C_S_Digital[[#This Row],[Peso]]),U342)),"")</f>
        <v/>
      </c>
      <c r="V343" s="144" t="str">
        <f>IFERROR(IF(C_S_Digital[[#This Row],[Código riesgo]]&lt;&gt;C342,_xlfn.XLOOKUP(C_S_Digital[[#This Row],[Código riesgo]],R_S_Digital[Código Riesgo],#REF!,,0)*IF(C_S_Digital[[#This Row],[Efecto]]="Impacto",1-C_S_Digital[[#This Row],[Peso]],1),IF(C_S_Digital[[#This Row],[Efecto]]="Impacto",V342*(1-C_S_Digital[[#This Row],[Peso]]),V342)),"")</f>
        <v/>
      </c>
    </row>
    <row r="344" spans="1:22" x14ac:dyDescent="0.25">
      <c r="A344" s="3">
        <v>339</v>
      </c>
      <c r="B344" s="85">
        <f>Mapa_RSD!B322</f>
        <v>0</v>
      </c>
      <c r="C344" s="136" t="e">
        <f>+R_S_Digital[[#This Row],[Código Riesgo]]</f>
        <v>#VALUE!</v>
      </c>
      <c r="D344" s="2"/>
      <c r="E344" s="141" t="str">
        <f>IF(C_S_Digital[[#This Row],[Responsable de ejecutar]]&lt;&gt;"",CONCATENATE(C_S_Digital[[#This Row],[Código riesgo]],"-",IF(C_S_Digital[[#This Row],[Código riesgo]]&lt;&gt;C343,1,RIGHT(E343,1)+1)),"")</f>
        <v/>
      </c>
      <c r="F344" s="147"/>
      <c r="G344" s="147"/>
      <c r="H344" s="147"/>
      <c r="I344" s="141" t="s">
        <v>105</v>
      </c>
      <c r="J344" s="141" t="s">
        <v>65</v>
      </c>
      <c r="K344" s="3"/>
      <c r="L344" s="3"/>
      <c r="M344" s="3"/>
      <c r="N344" s="3"/>
      <c r="O344" s="2"/>
      <c r="Q344" s="148"/>
      <c r="R344" s="148"/>
      <c r="S344" s="137">
        <f>_xlfn.XLOOKUP(CONCATENATE(C_S_Digital[[#This Row],[Momento de ejecución]],C_S_Digital[[#This Row],[Forma de ejecución]]),C_Atributos,C_Peso,"",0)</f>
        <v>0.25</v>
      </c>
      <c r="T344" s="141" t="str">
        <f>IFERROR(_xlfn.XLOOKUP(C_S_Digital[[#This Row],[Momento de ejecución]],C_Momento,C_Efecto,,0),"")</f>
        <v>Impacto</v>
      </c>
      <c r="U344" s="143" t="str">
        <f>IFERROR(IF(C_S_Digital[[#This Row],[Código riesgo]]&lt;&gt;C343,_xlfn.XLOOKUP(C344,R_S_Digital[Código Riesgo],#REF!,,0)*IF(C_S_Digital[[#This Row],[Efecto]]="Probabilidad",1-C_S_Digital[[#This Row],[Peso]],1),IF(C_S_Digital[[#This Row],[Efecto]]="Probabilidad",U343*(1-C_S_Digital[[#This Row],[Peso]]),U343)),"")</f>
        <v/>
      </c>
      <c r="V344" s="144" t="str">
        <f>IFERROR(IF(C_S_Digital[[#This Row],[Código riesgo]]&lt;&gt;C343,_xlfn.XLOOKUP(C_S_Digital[[#This Row],[Código riesgo]],R_S_Digital[Código Riesgo],#REF!,,0)*IF(C_S_Digital[[#This Row],[Efecto]]="Impacto",1-C_S_Digital[[#This Row],[Peso]],1),IF(C_S_Digital[[#This Row],[Efecto]]="Impacto",V343*(1-C_S_Digital[[#This Row],[Peso]]),V343)),"")</f>
        <v/>
      </c>
    </row>
    <row r="345" spans="1:22" x14ac:dyDescent="0.25">
      <c r="A345" s="3">
        <v>340</v>
      </c>
      <c r="B345" s="85">
        <f>Mapa_RSD!B323</f>
        <v>0</v>
      </c>
      <c r="C345" s="136" t="e">
        <f>+R_S_Digital[[#This Row],[Código Riesgo]]</f>
        <v>#VALUE!</v>
      </c>
      <c r="D345" s="2"/>
      <c r="E345" s="141" t="str">
        <f>IF(C_S_Digital[[#This Row],[Responsable de ejecutar]]&lt;&gt;"",CONCATENATE(C_S_Digital[[#This Row],[Código riesgo]],"-",IF(C_S_Digital[[#This Row],[Código riesgo]]&lt;&gt;C344,1,RIGHT(E344,1)+1)),"")</f>
        <v/>
      </c>
      <c r="F345" s="147"/>
      <c r="G345" s="147"/>
      <c r="H345" s="147"/>
      <c r="I345" s="141" t="s">
        <v>105</v>
      </c>
      <c r="J345" s="141" t="s">
        <v>65</v>
      </c>
      <c r="K345" s="3"/>
      <c r="L345" s="3"/>
      <c r="M345" s="3"/>
      <c r="N345" s="3"/>
      <c r="O345" s="2"/>
      <c r="Q345" s="148"/>
      <c r="R345" s="148"/>
      <c r="S345" s="137">
        <f>_xlfn.XLOOKUP(CONCATENATE(C_S_Digital[[#This Row],[Momento de ejecución]],C_S_Digital[[#This Row],[Forma de ejecución]]),C_Atributos,C_Peso,"",0)</f>
        <v>0.25</v>
      </c>
      <c r="T345" s="141" t="str">
        <f>IFERROR(_xlfn.XLOOKUP(C_S_Digital[[#This Row],[Momento de ejecución]],C_Momento,C_Efecto,,0),"")</f>
        <v>Impacto</v>
      </c>
      <c r="U345" s="143" t="str">
        <f>IFERROR(IF(C_S_Digital[[#This Row],[Código riesgo]]&lt;&gt;C344,_xlfn.XLOOKUP(C345,R_S_Digital[Código Riesgo],#REF!,,0)*IF(C_S_Digital[[#This Row],[Efecto]]="Probabilidad",1-C_S_Digital[[#This Row],[Peso]],1),IF(C_S_Digital[[#This Row],[Efecto]]="Probabilidad",U344*(1-C_S_Digital[[#This Row],[Peso]]),U344)),"")</f>
        <v/>
      </c>
      <c r="V345" s="144" t="str">
        <f>IFERROR(IF(C_S_Digital[[#This Row],[Código riesgo]]&lt;&gt;C344,_xlfn.XLOOKUP(C_S_Digital[[#This Row],[Código riesgo]],R_S_Digital[Código Riesgo],#REF!,,0)*IF(C_S_Digital[[#This Row],[Efecto]]="Impacto",1-C_S_Digital[[#This Row],[Peso]],1),IF(C_S_Digital[[#This Row],[Efecto]]="Impacto",V344*(1-C_S_Digital[[#This Row],[Peso]]),V344)),"")</f>
        <v/>
      </c>
    </row>
    <row r="346" spans="1:22" x14ac:dyDescent="0.25">
      <c r="A346" s="3">
        <v>341</v>
      </c>
      <c r="B346" s="85">
        <f>Mapa_RSD!B324</f>
        <v>0</v>
      </c>
      <c r="C346" s="136" t="e">
        <f>+R_S_Digital[[#This Row],[Código Riesgo]]</f>
        <v>#VALUE!</v>
      </c>
      <c r="D346" s="2"/>
      <c r="E346" s="141" t="str">
        <f>IF(C_S_Digital[[#This Row],[Responsable de ejecutar]]&lt;&gt;"",CONCATENATE(C_S_Digital[[#This Row],[Código riesgo]],"-",IF(C_S_Digital[[#This Row],[Código riesgo]]&lt;&gt;C345,1,RIGHT(E345,1)+1)),"")</f>
        <v/>
      </c>
      <c r="F346" s="147"/>
      <c r="G346" s="147"/>
      <c r="H346" s="147"/>
      <c r="I346" s="141" t="s">
        <v>105</v>
      </c>
      <c r="J346" s="141" t="s">
        <v>65</v>
      </c>
      <c r="K346" s="3"/>
      <c r="L346" s="3"/>
      <c r="M346" s="3"/>
      <c r="N346" s="3"/>
      <c r="O346" s="2"/>
      <c r="Q346" s="148"/>
      <c r="R346" s="148"/>
      <c r="S346" s="137">
        <f>_xlfn.XLOOKUP(CONCATENATE(C_S_Digital[[#This Row],[Momento de ejecución]],C_S_Digital[[#This Row],[Forma de ejecución]]),C_Atributos,C_Peso,"",0)</f>
        <v>0.25</v>
      </c>
      <c r="T346" s="141" t="str">
        <f>IFERROR(_xlfn.XLOOKUP(C_S_Digital[[#This Row],[Momento de ejecución]],C_Momento,C_Efecto,,0),"")</f>
        <v>Impacto</v>
      </c>
      <c r="U346" s="143" t="str">
        <f>IFERROR(IF(C_S_Digital[[#This Row],[Código riesgo]]&lt;&gt;C345,_xlfn.XLOOKUP(C346,R_S_Digital[Código Riesgo],#REF!,,0)*IF(C_S_Digital[[#This Row],[Efecto]]="Probabilidad",1-C_S_Digital[[#This Row],[Peso]],1),IF(C_S_Digital[[#This Row],[Efecto]]="Probabilidad",U345*(1-C_S_Digital[[#This Row],[Peso]]),U345)),"")</f>
        <v/>
      </c>
      <c r="V346" s="144" t="str">
        <f>IFERROR(IF(C_S_Digital[[#This Row],[Código riesgo]]&lt;&gt;C345,_xlfn.XLOOKUP(C_S_Digital[[#This Row],[Código riesgo]],R_S_Digital[Código Riesgo],#REF!,,0)*IF(C_S_Digital[[#This Row],[Efecto]]="Impacto",1-C_S_Digital[[#This Row],[Peso]],1),IF(C_S_Digital[[#This Row],[Efecto]]="Impacto",V345*(1-C_S_Digital[[#This Row],[Peso]]),V345)),"")</f>
        <v/>
      </c>
    </row>
    <row r="347" spans="1:22" x14ac:dyDescent="0.25">
      <c r="A347" s="3">
        <v>342</v>
      </c>
      <c r="B347" s="85">
        <f>Mapa_RSD!B325</f>
        <v>0</v>
      </c>
      <c r="C347" s="136" t="e">
        <f>+R_S_Digital[[#This Row],[Código Riesgo]]</f>
        <v>#VALUE!</v>
      </c>
      <c r="D347" s="2"/>
      <c r="E347" s="141" t="str">
        <f>IF(C_S_Digital[[#This Row],[Responsable de ejecutar]]&lt;&gt;"",CONCATENATE(C_S_Digital[[#This Row],[Código riesgo]],"-",IF(C_S_Digital[[#This Row],[Código riesgo]]&lt;&gt;C346,1,RIGHT(E346,1)+1)),"")</f>
        <v/>
      </c>
      <c r="F347" s="147"/>
      <c r="G347" s="147"/>
      <c r="H347" s="147"/>
      <c r="I347" s="141" t="s">
        <v>105</v>
      </c>
      <c r="J347" s="141" t="s">
        <v>65</v>
      </c>
      <c r="K347" s="3"/>
      <c r="L347" s="3"/>
      <c r="M347" s="3"/>
      <c r="N347" s="3"/>
      <c r="O347" s="2"/>
      <c r="Q347" s="148"/>
      <c r="R347" s="148"/>
      <c r="S347" s="137">
        <f>_xlfn.XLOOKUP(CONCATENATE(C_S_Digital[[#This Row],[Momento de ejecución]],C_S_Digital[[#This Row],[Forma de ejecución]]),C_Atributos,C_Peso,"",0)</f>
        <v>0.25</v>
      </c>
      <c r="T347" s="141" t="str">
        <f>IFERROR(_xlfn.XLOOKUP(C_S_Digital[[#This Row],[Momento de ejecución]],C_Momento,C_Efecto,,0),"")</f>
        <v>Impacto</v>
      </c>
      <c r="U347" s="143" t="str">
        <f>IFERROR(IF(C_S_Digital[[#This Row],[Código riesgo]]&lt;&gt;C346,_xlfn.XLOOKUP(C347,R_S_Digital[Código Riesgo],#REF!,,0)*IF(C_S_Digital[[#This Row],[Efecto]]="Probabilidad",1-C_S_Digital[[#This Row],[Peso]],1),IF(C_S_Digital[[#This Row],[Efecto]]="Probabilidad",U346*(1-C_S_Digital[[#This Row],[Peso]]),U346)),"")</f>
        <v/>
      </c>
      <c r="V347" s="144" t="str">
        <f>IFERROR(IF(C_S_Digital[[#This Row],[Código riesgo]]&lt;&gt;C346,_xlfn.XLOOKUP(C_S_Digital[[#This Row],[Código riesgo]],R_S_Digital[Código Riesgo],#REF!,,0)*IF(C_S_Digital[[#This Row],[Efecto]]="Impacto",1-C_S_Digital[[#This Row],[Peso]],1),IF(C_S_Digital[[#This Row],[Efecto]]="Impacto",V346*(1-C_S_Digital[[#This Row],[Peso]]),V346)),"")</f>
        <v/>
      </c>
    </row>
    <row r="348" spans="1:22" x14ac:dyDescent="0.25">
      <c r="A348" s="3">
        <v>343</v>
      </c>
      <c r="B348" s="85">
        <f>Mapa_RSD!B326</f>
        <v>0</v>
      </c>
      <c r="C348" s="136" t="e">
        <f>+R_S_Digital[[#This Row],[Código Riesgo]]</f>
        <v>#VALUE!</v>
      </c>
      <c r="D348" s="2"/>
      <c r="E348" s="141" t="str">
        <f>IF(C_S_Digital[[#This Row],[Responsable de ejecutar]]&lt;&gt;"",CONCATENATE(C_S_Digital[[#This Row],[Código riesgo]],"-",IF(C_S_Digital[[#This Row],[Código riesgo]]&lt;&gt;C347,1,RIGHT(E347,1)+1)),"")</f>
        <v/>
      </c>
      <c r="F348" s="147"/>
      <c r="G348" s="147"/>
      <c r="H348" s="147"/>
      <c r="I348" s="141" t="s">
        <v>105</v>
      </c>
      <c r="J348" s="141" t="s">
        <v>65</v>
      </c>
      <c r="K348" s="3"/>
      <c r="L348" s="3"/>
      <c r="M348" s="3"/>
      <c r="N348" s="3"/>
      <c r="O348" s="2"/>
      <c r="Q348" s="148"/>
      <c r="R348" s="148"/>
      <c r="S348" s="137">
        <f>_xlfn.XLOOKUP(CONCATENATE(C_S_Digital[[#This Row],[Momento de ejecución]],C_S_Digital[[#This Row],[Forma de ejecución]]),C_Atributos,C_Peso,"",0)</f>
        <v>0.25</v>
      </c>
      <c r="T348" s="141" t="str">
        <f>IFERROR(_xlfn.XLOOKUP(C_S_Digital[[#This Row],[Momento de ejecución]],C_Momento,C_Efecto,,0),"")</f>
        <v>Impacto</v>
      </c>
      <c r="U348" s="143" t="str">
        <f>IFERROR(IF(C_S_Digital[[#This Row],[Código riesgo]]&lt;&gt;C347,_xlfn.XLOOKUP(C348,R_S_Digital[Código Riesgo],#REF!,,0)*IF(C_S_Digital[[#This Row],[Efecto]]="Probabilidad",1-C_S_Digital[[#This Row],[Peso]],1),IF(C_S_Digital[[#This Row],[Efecto]]="Probabilidad",U347*(1-C_S_Digital[[#This Row],[Peso]]),U347)),"")</f>
        <v/>
      </c>
      <c r="V348" s="144" t="str">
        <f>IFERROR(IF(C_S_Digital[[#This Row],[Código riesgo]]&lt;&gt;C347,_xlfn.XLOOKUP(C_S_Digital[[#This Row],[Código riesgo]],R_S_Digital[Código Riesgo],#REF!,,0)*IF(C_S_Digital[[#This Row],[Efecto]]="Impacto",1-C_S_Digital[[#This Row],[Peso]],1),IF(C_S_Digital[[#This Row],[Efecto]]="Impacto",V347*(1-C_S_Digital[[#This Row],[Peso]]),V347)),"")</f>
        <v/>
      </c>
    </row>
    <row r="349" spans="1:22" x14ac:dyDescent="0.25">
      <c r="A349" s="3">
        <v>344</v>
      </c>
      <c r="B349" s="85">
        <f>Mapa_RSD!B327</f>
        <v>0</v>
      </c>
      <c r="C349" s="136" t="e">
        <f>+R_S_Digital[[#This Row],[Código Riesgo]]</f>
        <v>#VALUE!</v>
      </c>
      <c r="D349" s="2"/>
      <c r="E349" s="141" t="str">
        <f>IF(C_S_Digital[[#This Row],[Responsable de ejecutar]]&lt;&gt;"",CONCATENATE(C_S_Digital[[#This Row],[Código riesgo]],"-",IF(C_S_Digital[[#This Row],[Código riesgo]]&lt;&gt;C348,1,RIGHT(E348,1)+1)),"")</f>
        <v/>
      </c>
      <c r="F349" s="147"/>
      <c r="G349" s="147"/>
      <c r="H349" s="147"/>
      <c r="I349" s="141" t="s">
        <v>105</v>
      </c>
      <c r="J349" s="141" t="s">
        <v>65</v>
      </c>
      <c r="K349" s="3"/>
      <c r="L349" s="3"/>
      <c r="M349" s="3"/>
      <c r="N349" s="3"/>
      <c r="O349" s="2"/>
      <c r="Q349" s="148"/>
      <c r="R349" s="148"/>
      <c r="S349" s="137">
        <f>_xlfn.XLOOKUP(CONCATENATE(C_S_Digital[[#This Row],[Momento de ejecución]],C_S_Digital[[#This Row],[Forma de ejecución]]),C_Atributos,C_Peso,"",0)</f>
        <v>0.25</v>
      </c>
      <c r="T349" s="141" t="str">
        <f>IFERROR(_xlfn.XLOOKUP(C_S_Digital[[#This Row],[Momento de ejecución]],C_Momento,C_Efecto,,0),"")</f>
        <v>Impacto</v>
      </c>
      <c r="U349" s="143" t="str">
        <f>IFERROR(IF(C_S_Digital[[#This Row],[Código riesgo]]&lt;&gt;C348,_xlfn.XLOOKUP(C349,R_S_Digital[Código Riesgo],#REF!,,0)*IF(C_S_Digital[[#This Row],[Efecto]]="Probabilidad",1-C_S_Digital[[#This Row],[Peso]],1),IF(C_S_Digital[[#This Row],[Efecto]]="Probabilidad",U348*(1-C_S_Digital[[#This Row],[Peso]]),U348)),"")</f>
        <v/>
      </c>
      <c r="V349" s="144" t="str">
        <f>IFERROR(IF(C_S_Digital[[#This Row],[Código riesgo]]&lt;&gt;C348,_xlfn.XLOOKUP(C_S_Digital[[#This Row],[Código riesgo]],R_S_Digital[Código Riesgo],#REF!,,0)*IF(C_S_Digital[[#This Row],[Efecto]]="Impacto",1-C_S_Digital[[#This Row],[Peso]],1),IF(C_S_Digital[[#This Row],[Efecto]]="Impacto",V348*(1-C_S_Digital[[#This Row],[Peso]]),V348)),"")</f>
        <v/>
      </c>
    </row>
    <row r="350" spans="1:22" x14ac:dyDescent="0.25">
      <c r="A350" s="3">
        <v>345</v>
      </c>
      <c r="B350" s="85">
        <f>Mapa_RSD!B328</f>
        <v>0</v>
      </c>
      <c r="C350" s="136" t="e">
        <f>+R_S_Digital[[#This Row],[Código Riesgo]]</f>
        <v>#VALUE!</v>
      </c>
      <c r="D350" s="2"/>
      <c r="E350" s="141" t="str">
        <f>IF(C_S_Digital[[#This Row],[Responsable de ejecutar]]&lt;&gt;"",CONCATENATE(C_S_Digital[[#This Row],[Código riesgo]],"-",IF(C_S_Digital[[#This Row],[Código riesgo]]&lt;&gt;C349,1,RIGHT(E349,1)+1)),"")</f>
        <v/>
      </c>
      <c r="F350" s="147"/>
      <c r="G350" s="147"/>
      <c r="H350" s="147"/>
      <c r="I350" s="141" t="s">
        <v>105</v>
      </c>
      <c r="J350" s="141" t="s">
        <v>65</v>
      </c>
      <c r="K350" s="3"/>
      <c r="L350" s="3"/>
      <c r="M350" s="3"/>
      <c r="N350" s="3"/>
      <c r="O350" s="2"/>
      <c r="Q350" s="148"/>
      <c r="R350" s="148"/>
      <c r="S350" s="137">
        <f>_xlfn.XLOOKUP(CONCATENATE(C_S_Digital[[#This Row],[Momento de ejecución]],C_S_Digital[[#This Row],[Forma de ejecución]]),C_Atributos,C_Peso,"",0)</f>
        <v>0.25</v>
      </c>
      <c r="T350" s="141" t="str">
        <f>IFERROR(_xlfn.XLOOKUP(C_S_Digital[[#This Row],[Momento de ejecución]],C_Momento,C_Efecto,,0),"")</f>
        <v>Impacto</v>
      </c>
      <c r="U350" s="143" t="str">
        <f>IFERROR(IF(C_S_Digital[[#This Row],[Código riesgo]]&lt;&gt;C349,_xlfn.XLOOKUP(C350,R_S_Digital[Código Riesgo],#REF!,,0)*IF(C_S_Digital[[#This Row],[Efecto]]="Probabilidad",1-C_S_Digital[[#This Row],[Peso]],1),IF(C_S_Digital[[#This Row],[Efecto]]="Probabilidad",U349*(1-C_S_Digital[[#This Row],[Peso]]),U349)),"")</f>
        <v/>
      </c>
      <c r="V350" s="144" t="str">
        <f>IFERROR(IF(C_S_Digital[[#This Row],[Código riesgo]]&lt;&gt;C349,_xlfn.XLOOKUP(C_S_Digital[[#This Row],[Código riesgo]],R_S_Digital[Código Riesgo],#REF!,,0)*IF(C_S_Digital[[#This Row],[Efecto]]="Impacto",1-C_S_Digital[[#This Row],[Peso]],1),IF(C_S_Digital[[#This Row],[Efecto]]="Impacto",V349*(1-C_S_Digital[[#This Row],[Peso]]),V349)),"")</f>
        <v/>
      </c>
    </row>
    <row r="351" spans="1:22" x14ac:dyDescent="0.25">
      <c r="A351" s="3">
        <v>346</v>
      </c>
      <c r="B351" s="85">
        <f>Mapa_RSD!B329</f>
        <v>0</v>
      </c>
      <c r="C351" s="136" t="e">
        <f>+R_S_Digital[[#This Row],[Código Riesgo]]</f>
        <v>#VALUE!</v>
      </c>
      <c r="D351" s="2"/>
      <c r="E351" s="141" t="str">
        <f>IF(C_S_Digital[[#This Row],[Responsable de ejecutar]]&lt;&gt;"",CONCATENATE(C_S_Digital[[#This Row],[Código riesgo]],"-",IF(C_S_Digital[[#This Row],[Código riesgo]]&lt;&gt;C350,1,RIGHT(E350,1)+1)),"")</f>
        <v/>
      </c>
      <c r="F351" s="147"/>
      <c r="G351" s="147"/>
      <c r="H351" s="147"/>
      <c r="I351" s="141" t="s">
        <v>105</v>
      </c>
      <c r="J351" s="141" t="s">
        <v>65</v>
      </c>
      <c r="K351" s="3"/>
      <c r="L351" s="3"/>
      <c r="M351" s="3"/>
      <c r="N351" s="3"/>
      <c r="O351" s="2"/>
      <c r="Q351" s="148"/>
      <c r="R351" s="148"/>
      <c r="S351" s="137">
        <f>_xlfn.XLOOKUP(CONCATENATE(C_S_Digital[[#This Row],[Momento de ejecución]],C_S_Digital[[#This Row],[Forma de ejecución]]),C_Atributos,C_Peso,"",0)</f>
        <v>0.25</v>
      </c>
      <c r="T351" s="141" t="str">
        <f>IFERROR(_xlfn.XLOOKUP(C_S_Digital[[#This Row],[Momento de ejecución]],C_Momento,C_Efecto,,0),"")</f>
        <v>Impacto</v>
      </c>
      <c r="U351" s="143" t="str">
        <f>IFERROR(IF(C_S_Digital[[#This Row],[Código riesgo]]&lt;&gt;C350,_xlfn.XLOOKUP(C351,R_S_Digital[Código Riesgo],#REF!,,0)*IF(C_S_Digital[[#This Row],[Efecto]]="Probabilidad",1-C_S_Digital[[#This Row],[Peso]],1),IF(C_S_Digital[[#This Row],[Efecto]]="Probabilidad",U350*(1-C_S_Digital[[#This Row],[Peso]]),U350)),"")</f>
        <v/>
      </c>
      <c r="V351" s="144" t="str">
        <f>IFERROR(IF(C_S_Digital[[#This Row],[Código riesgo]]&lt;&gt;C350,_xlfn.XLOOKUP(C_S_Digital[[#This Row],[Código riesgo]],R_S_Digital[Código Riesgo],#REF!,,0)*IF(C_S_Digital[[#This Row],[Efecto]]="Impacto",1-C_S_Digital[[#This Row],[Peso]],1),IF(C_S_Digital[[#This Row],[Efecto]]="Impacto",V350*(1-C_S_Digital[[#This Row],[Peso]]),V350)),"")</f>
        <v/>
      </c>
    </row>
    <row r="352" spans="1:22" x14ac:dyDescent="0.25">
      <c r="A352" s="3">
        <v>347</v>
      </c>
      <c r="B352" s="85">
        <f>Mapa_RSD!B330</f>
        <v>0</v>
      </c>
      <c r="C352" s="136" t="e">
        <f>+R_S_Digital[[#This Row],[Código Riesgo]]</f>
        <v>#VALUE!</v>
      </c>
      <c r="D352" s="2"/>
      <c r="E352" s="141" t="str">
        <f>IF(C_S_Digital[[#This Row],[Responsable de ejecutar]]&lt;&gt;"",CONCATENATE(C_S_Digital[[#This Row],[Código riesgo]],"-",IF(C_S_Digital[[#This Row],[Código riesgo]]&lt;&gt;C351,1,RIGHT(E351,1)+1)),"")</f>
        <v/>
      </c>
      <c r="F352" s="147"/>
      <c r="G352" s="147"/>
      <c r="H352" s="147"/>
      <c r="I352" s="141" t="s">
        <v>105</v>
      </c>
      <c r="J352" s="141" t="s">
        <v>65</v>
      </c>
      <c r="K352" s="3"/>
      <c r="L352" s="3"/>
      <c r="M352" s="3"/>
      <c r="N352" s="3"/>
      <c r="O352" s="2"/>
      <c r="Q352" s="148"/>
      <c r="R352" s="148"/>
      <c r="S352" s="137">
        <f>_xlfn.XLOOKUP(CONCATENATE(C_S_Digital[[#This Row],[Momento de ejecución]],C_S_Digital[[#This Row],[Forma de ejecución]]),C_Atributos,C_Peso,"",0)</f>
        <v>0.25</v>
      </c>
      <c r="T352" s="141" t="str">
        <f>IFERROR(_xlfn.XLOOKUP(C_S_Digital[[#This Row],[Momento de ejecución]],C_Momento,C_Efecto,,0),"")</f>
        <v>Impacto</v>
      </c>
      <c r="U352" s="143" t="str">
        <f>IFERROR(IF(C_S_Digital[[#This Row],[Código riesgo]]&lt;&gt;C351,_xlfn.XLOOKUP(C352,R_S_Digital[Código Riesgo],#REF!,,0)*IF(C_S_Digital[[#This Row],[Efecto]]="Probabilidad",1-C_S_Digital[[#This Row],[Peso]],1),IF(C_S_Digital[[#This Row],[Efecto]]="Probabilidad",U351*(1-C_S_Digital[[#This Row],[Peso]]),U351)),"")</f>
        <v/>
      </c>
      <c r="V352" s="144" t="str">
        <f>IFERROR(IF(C_S_Digital[[#This Row],[Código riesgo]]&lt;&gt;C351,_xlfn.XLOOKUP(C_S_Digital[[#This Row],[Código riesgo]],R_S_Digital[Código Riesgo],#REF!,,0)*IF(C_S_Digital[[#This Row],[Efecto]]="Impacto",1-C_S_Digital[[#This Row],[Peso]],1),IF(C_S_Digital[[#This Row],[Efecto]]="Impacto",V351*(1-C_S_Digital[[#This Row],[Peso]]),V351)),"")</f>
        <v/>
      </c>
    </row>
    <row r="353" spans="1:22" x14ac:dyDescent="0.25">
      <c r="A353" s="3">
        <v>348</v>
      </c>
      <c r="B353" s="85">
        <f>Mapa_RSD!B331</f>
        <v>0</v>
      </c>
      <c r="C353" s="136" t="e">
        <f>+R_S_Digital[[#This Row],[Código Riesgo]]</f>
        <v>#VALUE!</v>
      </c>
      <c r="D353" s="2"/>
      <c r="E353" s="141" t="str">
        <f>IF(C_S_Digital[[#This Row],[Responsable de ejecutar]]&lt;&gt;"",CONCATENATE(C_S_Digital[[#This Row],[Código riesgo]],"-",IF(C_S_Digital[[#This Row],[Código riesgo]]&lt;&gt;C352,1,RIGHT(E352,1)+1)),"")</f>
        <v/>
      </c>
      <c r="F353" s="147"/>
      <c r="G353" s="147"/>
      <c r="H353" s="147"/>
      <c r="I353" s="141" t="s">
        <v>105</v>
      </c>
      <c r="J353" s="141" t="s">
        <v>65</v>
      </c>
      <c r="K353" s="3"/>
      <c r="L353" s="3"/>
      <c r="M353" s="3"/>
      <c r="N353" s="3"/>
      <c r="O353" s="2"/>
      <c r="Q353" s="148"/>
      <c r="R353" s="148"/>
      <c r="S353" s="137">
        <f>_xlfn.XLOOKUP(CONCATENATE(C_S_Digital[[#This Row],[Momento de ejecución]],C_S_Digital[[#This Row],[Forma de ejecución]]),C_Atributos,C_Peso,"",0)</f>
        <v>0.25</v>
      </c>
      <c r="T353" s="141" t="str">
        <f>IFERROR(_xlfn.XLOOKUP(C_S_Digital[[#This Row],[Momento de ejecución]],C_Momento,C_Efecto,,0),"")</f>
        <v>Impacto</v>
      </c>
      <c r="U353" s="143" t="str">
        <f>IFERROR(IF(C_S_Digital[[#This Row],[Código riesgo]]&lt;&gt;C352,_xlfn.XLOOKUP(C353,R_S_Digital[Código Riesgo],#REF!,,0)*IF(C_S_Digital[[#This Row],[Efecto]]="Probabilidad",1-C_S_Digital[[#This Row],[Peso]],1),IF(C_S_Digital[[#This Row],[Efecto]]="Probabilidad",U352*(1-C_S_Digital[[#This Row],[Peso]]),U352)),"")</f>
        <v/>
      </c>
      <c r="V353" s="144" t="str">
        <f>IFERROR(IF(C_S_Digital[[#This Row],[Código riesgo]]&lt;&gt;C352,_xlfn.XLOOKUP(C_S_Digital[[#This Row],[Código riesgo]],R_S_Digital[Código Riesgo],#REF!,,0)*IF(C_S_Digital[[#This Row],[Efecto]]="Impacto",1-C_S_Digital[[#This Row],[Peso]],1),IF(C_S_Digital[[#This Row],[Efecto]]="Impacto",V352*(1-C_S_Digital[[#This Row],[Peso]]),V352)),"")</f>
        <v/>
      </c>
    </row>
  </sheetData>
  <sheetProtection autoFilter="0"/>
  <protectedRanges>
    <protectedRange algorithmName="SHA-512" hashValue="2cwbXB1gfNhyd5Qi8ruJz6rElyNwycdmu2HsCFMx6fFUmYYmerO60AdODHu+YaertFqS74i3wVGprsFU/7ec5g==" saltValue="aGitTY3u+C7UOW2L9nQYFw==" spinCount="100000" sqref="F102:H103 F108:H108 F114:H114 G120:H120" name="Rango1_1"/>
  </protectedRanges>
  <dataConsolidate/>
  <mergeCells count="18">
    <mergeCell ref="S1:V2"/>
    <mergeCell ref="S3:V3"/>
    <mergeCell ref="S4:V4"/>
    <mergeCell ref="C3:D3"/>
    <mergeCell ref="N3:R3"/>
    <mergeCell ref="C4:D4"/>
    <mergeCell ref="E4:H4"/>
    <mergeCell ref="N4:R4"/>
    <mergeCell ref="I4:J4"/>
    <mergeCell ref="K4:M4"/>
    <mergeCell ref="C1:D2"/>
    <mergeCell ref="E1:M2"/>
    <mergeCell ref="N1:R2"/>
    <mergeCell ref="A4:B4"/>
    <mergeCell ref="A1:B1"/>
    <mergeCell ref="A2:B2"/>
    <mergeCell ref="A3:B3"/>
    <mergeCell ref="E3:M3"/>
  </mergeCells>
  <dataValidations count="29">
    <dataValidation type="list" allowBlank="1" showInputMessage="1" showErrorMessage="1" sqref="L6:L353" xr:uid="{855CDDFB-73D0-4F41-B439-6D2CFEB146CE}">
      <formula1>C_Frecuencia</formula1>
    </dataValidation>
    <dataValidation type="list" allowBlank="1" showInputMessage="1" showErrorMessage="1" sqref="J6:J353" xr:uid="{67736836-63AE-4A51-A070-4A976B5214DF}">
      <formula1>C_Forma</formula1>
    </dataValidation>
    <dataValidation type="date" allowBlank="1" showInputMessage="1" showErrorMessage="1" sqref="R73" xr:uid="{260C0596-E1E8-48E0-B429-FB806F785842}">
      <formula1>44197</formula1>
      <formula2>47818</formula2>
    </dataValidation>
    <dataValidation allowBlank="1" showInputMessage="1" showErrorMessage="1" error="Recuerde que las acciones se generan bajo la medida de mitigar el riesgo" sqref="O47:Q47 P8:Q11 O49:Q53 P68:Q71 P29:Q29 O85:Q89 O91:Q95 P98:Q101 P38:Q41 O31:Q35 O104:O107 O17:Q17 O7:O11 O19 O97:O101 O103:Q103 O37:O41 O121:O125 O74:Q77 P26:Q26 O79 O80:Q83 O26:O29 O67:O71 P105:Q107 P22:Q24 O22:O23 O55:Q65 P111:Q113 O109:O113 P117:Q119 O115:O119 P123:Q125 O73" xr:uid="{BF6B3B02-2DE0-47A3-B7C2-31385DE6C051}"/>
    <dataValidation allowBlank="1" showInputMessage="1" showErrorMessage="1" promptTitle="Código Riesgo" prompt="Es un valor alfanúmerico que asigna el administrador del SIG para el control de cambios de los riesgos, debe ser único." sqref="C5" xr:uid="{842D360C-E6DC-4A1A-A25A-31ADAC719FE9}"/>
    <dataValidation type="list" allowBlank="1" showInputMessage="1" showErrorMessage="1" sqref="I6:I353" xr:uid="{F1902DFC-09B6-4BBA-8E38-AE32C9B70C80}">
      <formula1>C_Momento</formula1>
    </dataValidation>
    <dataValidation type="list" allowBlank="1" showInputMessage="1" showErrorMessage="1" sqref="N6:N353" xr:uid="{41DA6C13-A5FE-4AD0-8840-243D4117905D}">
      <formula1>Tratamiento</formula1>
    </dataValidation>
    <dataValidation allowBlank="1" showInputMessage="1" showErrorMessage="1" promptTitle="Proceso" prompt="Corresponde al nombre del proceso donde se origina el riesgo, según el modelo de operación vigente" sqref="B5" xr:uid="{D8DFBE37-48F5-4D01-BAFD-F775318746E0}"/>
    <dataValidation allowBlank="1" showInputMessage="1" showErrorMessage="1" promptTitle="Vulnerabilidades (causas)" prompt="Es el conjunto de motivos que potencializan las amenazas de seguridad de la información" sqref="D5" xr:uid="{4D7E8D02-D591-4B16-AA7F-2FD31EEF1D8A}"/>
    <dataValidation allowBlank="1" showInputMessage="1" showErrorMessage="1" promptTitle="Responsable de ejecutar" prompt="Se refiere al cargo o rol responsable de realizar el control generando la respectiva evidencia" sqref="F5" xr:uid="{7C86F798-6192-404A-A5AE-4553C58077F8}"/>
    <dataValidation allowBlank="1" showInputMessage="1" showErrorMessage="1" promptTitle="Momento de ejecución" prompt="Permite identificar si el control es de tipo preventivo, detectivo o correctivo, según el momento donde se desarrolla, antes, durante o después de la materialización del evento de riesgo" sqref="I5" xr:uid="{E884C204-5D58-4440-A212-19B6FA8C1117}"/>
    <dataValidation allowBlank="1" showInputMessage="1" showErrorMessage="1" promptTitle="Forma de ejecución" prompt="El control se puede ejecutar de dos maneras: automática (por un sistema) o manual (con la intervención humana)" sqref="J5" xr:uid="{C66DAB17-C99D-4F49-BD2D-95FC59B02A53}"/>
    <dataValidation allowBlank="1" showInputMessage="1" showErrorMessage="1" promptTitle="Peso" prompt="Es el valor asignado al control en virtud de su momento y forma de ejecución, según lo definido en la política de administración del riesgo" sqref="S5" xr:uid="{6F7C0040-B66F-4FD0-8A10-1B36B4A8809C}"/>
    <dataValidation allowBlank="1" showInputMessage="1" showErrorMessage="1" promptTitle="Documentación" prompt="En esta columna se consigna el código o nombre del documento donde se documentó el control descrito en las celdas anteriores" sqref="K5" xr:uid="{7B577B92-9A11-4A08-B6B3-1D281CE13D91}"/>
    <dataValidation allowBlank="1" showInputMessage="1" showErrorMessage="1" promptTitle="Evidencia" prompt="En esta columna se debe indicar el nombre y serie documental dónde se archiva la evidencia de ejecución del control" sqref="M5" xr:uid="{00D353CA-18BA-4D49-8D6F-C1CD68106740}"/>
    <dataValidation allowBlank="1" showInputMessage="1" showErrorMessage="1" promptTitle="Reducción P %" prompt="Muestra la reducción númerica de la probabilidad" sqref="U5" xr:uid="{F64EE044-5663-4466-B7D5-2A013BB7C1A5}"/>
    <dataValidation allowBlank="1" showInputMessage="1" showErrorMessage="1" promptTitle="Reducción I %" prompt="Muestra la reducción númerica del impacto" sqref="V5" xr:uid="{4737ACBB-6813-4917-B71F-258A93F116F9}"/>
    <dataValidation allowBlank="1" showInputMessage="1" showErrorMessage="1" promptTitle="Tratamiento" prompt="Despliega un listado con las estrategias disponibles para reducir el riesgo, de acuerdo con lo definido en la política de administración del riesgo" sqref="N5" xr:uid="{2C92FF18-52D6-4970-9D36-8A1ADFB23072}"/>
    <dataValidation allowBlank="1" showInputMessage="1" showErrorMessage="1" promptTitle="Fecha de inicio" prompt="Fecha en la cual se empieza el desarrollo de la actividad para fortalecer el control" sqref="Q5" xr:uid="{5979B986-6EFE-42DB-8CBA-F27D9595598B}"/>
    <dataValidation allowBlank="1" showInputMessage="1" showErrorMessage="1" promptTitle="Fecha fin" prompt="Fecha en la cual se finalizará el desarrollo de la actividad para fortalecer el control" sqref="R5:V5" xr:uid="{301BFFEF-4F36-47F5-A3DF-471DB16F9D1C}"/>
    <dataValidation allowBlank="1" showInputMessage="1" showErrorMessage="1" promptTitle="Reducción P %" prompt="Indica la escala de probabilidad en porcentaje a la que pasa el riesgo después de aplicar el control" sqref="U5" xr:uid="{56490F52-0967-4E24-B2CA-5D49E5722EB9}"/>
    <dataValidation allowBlank="1" showInputMessage="1" showErrorMessage="1" promptTitle="Responsable estrategia" prompt="Corresponde al cargo de la persona que se encargará de liderar la implementación de la actividad de fortalecimiento formulada" sqref="P5" xr:uid="{3E1B85C8-DC80-496A-820F-D4F180AE3172}"/>
    <dataValidation allowBlank="1" showInputMessage="1" showErrorMessage="1" promptTitle="Actividad fortalecimiento" prompt="Describe del desarrollo de medidas para fortalecer los controles según la estrategia seleccionada y lo establecido en la política de administración del riesgo" sqref="O5" xr:uid="{B4DDA84D-A7F4-4D90-85C3-8F9AB76DBC05}"/>
    <dataValidation allowBlank="1" showInputMessage="1" showErrorMessage="1" promptTitle="Efecto" prompt="Indica el efecto del control: el preventivo o detectivo reduce la probabilidad; mientras que el correctivo reduce el impacto" sqref="T5 V5" xr:uid="{99C57D97-D1CD-4770-A337-CF481CEEA097}"/>
    <dataValidation allowBlank="1" showInputMessage="1" showErrorMessage="1" promptTitle="Frecuencia" prompt="Establece la frecuencia con la cual se ejecuta el control en caso de periodicidad continua, cuando la periodicidad es aleatoria se indica  frecuencia &quot;indeterminada&quot;" sqref="L5" xr:uid="{B1697F2C-118E-4ECD-A609-F3A0E3D11F45}"/>
    <dataValidation allowBlank="1" showInputMessage="1" showErrorMessage="1" promptTitle="Complemento" prompt="Es la descripción que permite dar precisión a la acción de control respecto a la forma de realizarla" sqref="H5" xr:uid="{4FB037E7-AE67-4CD9-8C56-502FB2F1D482}"/>
    <dataValidation allowBlank="1" showInputMessage="1" showErrorMessage="1" promptTitle="Acción de control" prompt="Corresponde a la descripción de la acción de control" sqref="G5" xr:uid="{CEB53FDE-9C27-4120-8B00-A795217DDF8B}"/>
    <dataValidation allowBlank="1" showInputMessage="1" showErrorMessage="1" promptTitle="Código control" prompt="Es un valor alfanúmerico que asigna el administrador del SIG para el control de cambios de los controles debe ser único." sqref="E5" xr:uid="{2ABA29DB-3374-45C2-8A67-1C52DA866BAF}"/>
    <dataValidation allowBlank="1" showInputMessage="1" showErrorMessage="1" promptTitle="Consecutivo de controles" prompt="Es el consecutivo que pemite alinear los riesgos con los controles, y tiene restricción de hasta máximo seis controles por cada riesgo" sqref="A5" xr:uid="{25617339-E597-495B-ACF4-626B6888D551}"/>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E51A9-26C6-47DF-AF56-E90BC6C0F677}">
  <sheetPr>
    <tabColor theme="5" tint="-0.249977111117893"/>
  </sheetPr>
  <dimension ref="A1:AO113"/>
  <sheetViews>
    <sheetView showGridLines="0" topLeftCell="F1" zoomScale="120" zoomScaleNormal="120" workbookViewId="0">
      <selection activeCell="P33" sqref="P33"/>
    </sheetView>
  </sheetViews>
  <sheetFormatPr baseColWidth="10" defaultColWidth="11.42578125" defaultRowHeight="16.5" x14ac:dyDescent="0.25"/>
  <cols>
    <col min="1" max="1" width="15.42578125" style="75" customWidth="1"/>
    <col min="2" max="2" width="21.28515625" style="75" customWidth="1"/>
    <col min="3" max="3" width="18.5703125" style="75" customWidth="1"/>
    <col min="4" max="4" width="23.5703125" style="75" customWidth="1"/>
    <col min="5" max="5" width="22.5703125" style="75" customWidth="1"/>
    <col min="6" max="6" width="37.42578125" style="75" customWidth="1"/>
    <col min="7" max="7" width="24.42578125" style="75" customWidth="1"/>
    <col min="8" max="8" width="21.7109375" style="75" customWidth="1"/>
    <col min="9" max="9" width="20.140625" style="75" customWidth="1"/>
    <col min="10" max="10" width="17.140625" style="75" customWidth="1"/>
    <col min="11" max="11" width="11.140625" style="75" customWidth="1"/>
    <col min="12" max="12" width="13.28515625" style="75" bestFit="1" customWidth="1"/>
    <col min="13" max="13" width="20.140625" style="75" customWidth="1"/>
    <col min="14" max="14" width="20.28515625" style="75" customWidth="1"/>
    <col min="15" max="15" width="23.5703125" style="75" customWidth="1"/>
    <col min="16" max="16" width="27" style="75" customWidth="1"/>
    <col min="17" max="17" width="26.5703125" style="75" customWidth="1"/>
    <col min="18" max="18" width="11.42578125" style="75"/>
    <col min="19" max="19" width="18.42578125" style="75" customWidth="1"/>
    <col min="20" max="16384" width="11.42578125" style="75"/>
  </cols>
  <sheetData>
    <row r="1" spans="1:41" x14ac:dyDescent="0.25">
      <c r="A1" s="84"/>
      <c r="B1" s="85"/>
      <c r="D1" s="85"/>
      <c r="E1" s="85"/>
      <c r="F1" s="85"/>
      <c r="G1" s="85"/>
      <c r="H1" s="85"/>
      <c r="I1" s="85"/>
      <c r="J1" s="84"/>
      <c r="K1" s="84"/>
      <c r="L1" s="84"/>
      <c r="M1" s="84"/>
      <c r="N1" s="84"/>
      <c r="O1" s="84"/>
      <c r="P1" s="84"/>
      <c r="Q1" s="84"/>
      <c r="R1" s="84"/>
      <c r="S1" s="84"/>
      <c r="T1" s="84"/>
      <c r="U1" s="84"/>
      <c r="V1" s="84"/>
      <c r="W1" s="84"/>
      <c r="X1" s="84"/>
      <c r="Y1" s="84"/>
      <c r="Z1" s="84"/>
      <c r="AA1" s="84"/>
      <c r="AB1" s="84"/>
      <c r="AC1" s="84"/>
      <c r="AD1" s="84"/>
      <c r="AE1" s="84"/>
      <c r="AF1" s="84"/>
      <c r="AG1" s="84"/>
      <c r="AH1" s="84"/>
      <c r="AI1" s="84"/>
    </row>
    <row r="2" spans="1:41" ht="16.5" customHeight="1" x14ac:dyDescent="0.25">
      <c r="A2" s="84"/>
      <c r="E2" s="357" t="s">
        <v>379</v>
      </c>
      <c r="F2" s="359"/>
      <c r="G2" s="357" t="s">
        <v>380</v>
      </c>
      <c r="H2" s="358"/>
      <c r="I2" s="359"/>
      <c r="J2" s="84"/>
      <c r="K2" s="363" t="s">
        <v>381</v>
      </c>
      <c r="L2" s="364"/>
      <c r="M2" s="364"/>
      <c r="N2" s="371"/>
      <c r="O2" s="84"/>
      <c r="P2" s="84"/>
      <c r="Q2" s="84"/>
      <c r="R2" s="84"/>
      <c r="S2" s="84"/>
      <c r="T2" s="84"/>
      <c r="U2" s="84"/>
      <c r="V2" s="84"/>
      <c r="W2" s="84"/>
      <c r="X2" s="84"/>
      <c r="Y2" s="84"/>
      <c r="Z2" s="84"/>
      <c r="AA2" s="84"/>
      <c r="AB2" s="84"/>
      <c r="AC2" s="84"/>
      <c r="AD2" s="84"/>
      <c r="AE2" s="84"/>
      <c r="AF2" s="84"/>
      <c r="AG2" s="84"/>
      <c r="AH2" s="84"/>
      <c r="AI2" s="84"/>
    </row>
    <row r="3" spans="1:41" ht="16.5" customHeight="1" x14ac:dyDescent="0.25">
      <c r="A3" s="84"/>
      <c r="E3" s="369" t="s">
        <v>382</v>
      </c>
      <c r="F3" s="370"/>
      <c r="G3" s="360" t="s">
        <v>383</v>
      </c>
      <c r="H3" s="360"/>
      <c r="I3" s="361" t="s">
        <v>384</v>
      </c>
      <c r="J3" s="84"/>
      <c r="K3" s="88"/>
      <c r="L3" s="88"/>
      <c r="M3" s="88"/>
      <c r="N3" s="88"/>
      <c r="O3" s="84"/>
      <c r="P3" s="84"/>
      <c r="Q3" s="84"/>
      <c r="R3" s="84"/>
      <c r="S3" s="84"/>
      <c r="T3" s="84"/>
      <c r="U3" s="84"/>
      <c r="V3" s="84"/>
      <c r="W3" s="84"/>
      <c r="X3" s="84"/>
      <c r="Y3" s="84"/>
      <c r="Z3" s="84"/>
      <c r="AA3" s="84"/>
      <c r="AB3" s="84"/>
      <c r="AC3" s="84"/>
      <c r="AD3" s="84"/>
      <c r="AE3" s="84"/>
      <c r="AF3" s="84"/>
      <c r="AG3" s="84"/>
      <c r="AH3" s="84"/>
      <c r="AI3" s="84"/>
    </row>
    <row r="4" spans="1:41" x14ac:dyDescent="0.25">
      <c r="A4" s="84"/>
      <c r="E4" s="87" t="s">
        <v>385</v>
      </c>
      <c r="F4" s="87" t="s">
        <v>386</v>
      </c>
      <c r="G4" s="87" t="s">
        <v>385</v>
      </c>
      <c r="H4" s="87" t="s">
        <v>386</v>
      </c>
      <c r="I4" s="362"/>
      <c r="J4" s="84"/>
      <c r="K4" s="363" t="s">
        <v>387</v>
      </c>
      <c r="L4" s="364"/>
      <c r="M4" s="364"/>
      <c r="N4" s="371"/>
      <c r="O4" s="84"/>
      <c r="P4" s="84"/>
      <c r="Q4" s="84"/>
      <c r="R4" s="84"/>
      <c r="S4" s="84"/>
      <c r="T4" s="84"/>
      <c r="U4" s="84"/>
      <c r="V4" s="84"/>
      <c r="W4" s="84"/>
      <c r="X4" s="84"/>
      <c r="Y4" s="84"/>
      <c r="Z4" s="84"/>
      <c r="AA4" s="84"/>
      <c r="AB4" s="84"/>
      <c r="AC4" s="84"/>
      <c r="AD4" s="84"/>
      <c r="AE4" s="84"/>
      <c r="AF4" s="84"/>
      <c r="AG4" s="84"/>
      <c r="AH4" s="84"/>
      <c r="AI4" s="84"/>
    </row>
    <row r="5" spans="1:41" x14ac:dyDescent="0.25">
      <c r="A5" s="84"/>
      <c r="E5" s="89">
        <v>0</v>
      </c>
      <c r="F5" s="89">
        <v>2</v>
      </c>
      <c r="G5" s="90">
        <v>0</v>
      </c>
      <c r="H5" s="90">
        <v>0.2</v>
      </c>
      <c r="I5" s="91" t="s">
        <v>86</v>
      </c>
      <c r="J5" s="84"/>
      <c r="K5" s="86" t="s">
        <v>388</v>
      </c>
      <c r="L5" s="86" t="s">
        <v>389</v>
      </c>
      <c r="M5" s="92" t="s">
        <v>390</v>
      </c>
      <c r="N5" s="92" t="s">
        <v>363</v>
      </c>
      <c r="O5" s="93" t="s">
        <v>364</v>
      </c>
      <c r="P5" s="84"/>
      <c r="Q5" s="84"/>
      <c r="R5" s="84"/>
      <c r="S5" s="84"/>
      <c r="T5" s="84"/>
      <c r="U5" s="84"/>
      <c r="V5" s="84"/>
      <c r="W5" s="84"/>
      <c r="X5" s="84"/>
      <c r="Y5" s="84"/>
      <c r="Z5" s="84"/>
      <c r="AA5" s="84"/>
      <c r="AB5" s="84"/>
      <c r="AC5" s="84"/>
      <c r="AD5" s="84"/>
      <c r="AE5" s="84"/>
      <c r="AF5" s="84"/>
      <c r="AG5" s="84"/>
      <c r="AH5" s="84"/>
      <c r="AI5" s="84"/>
    </row>
    <row r="6" spans="1:41" ht="66" x14ac:dyDescent="0.25">
      <c r="A6" s="84"/>
      <c r="E6" s="94">
        <v>3</v>
      </c>
      <c r="F6" s="94">
        <v>24</v>
      </c>
      <c r="G6" s="95">
        <v>0.2001</v>
      </c>
      <c r="H6" s="95">
        <v>0.4</v>
      </c>
      <c r="I6" s="96" t="s">
        <v>83</v>
      </c>
      <c r="J6" s="84"/>
      <c r="K6" s="353" t="s">
        <v>37</v>
      </c>
      <c r="L6" s="97" t="s">
        <v>64</v>
      </c>
      <c r="M6" s="228" t="s">
        <v>391</v>
      </c>
      <c r="N6" s="98">
        <v>0.25</v>
      </c>
      <c r="O6" s="99" t="s">
        <v>380</v>
      </c>
      <c r="P6" s="84"/>
      <c r="Q6" s="84"/>
      <c r="R6" s="84"/>
      <c r="S6" s="84"/>
      <c r="T6" s="84"/>
      <c r="U6" s="84"/>
      <c r="V6" s="84"/>
      <c r="W6" s="84"/>
      <c r="X6" s="84"/>
      <c r="Y6" s="84"/>
      <c r="Z6" s="84"/>
      <c r="AA6" s="84"/>
      <c r="AB6" s="84"/>
      <c r="AC6" s="84"/>
      <c r="AD6" s="84"/>
      <c r="AE6" s="84"/>
      <c r="AF6" s="84"/>
      <c r="AG6" s="84"/>
      <c r="AH6" s="84"/>
      <c r="AI6" s="84"/>
    </row>
    <row r="7" spans="1:41" ht="82.5" x14ac:dyDescent="0.25">
      <c r="A7" s="84"/>
      <c r="E7" s="94">
        <v>25</v>
      </c>
      <c r="F7" s="94">
        <v>500</v>
      </c>
      <c r="G7" s="100">
        <v>0.40010000000000001</v>
      </c>
      <c r="H7" s="100">
        <v>0.6</v>
      </c>
      <c r="I7" s="101" t="s">
        <v>127</v>
      </c>
      <c r="J7" s="84"/>
      <c r="K7" s="353"/>
      <c r="L7" s="97" t="s">
        <v>392</v>
      </c>
      <c r="M7" s="228" t="s">
        <v>393</v>
      </c>
      <c r="N7" s="98">
        <v>0.15</v>
      </c>
      <c r="O7" s="99" t="s">
        <v>380</v>
      </c>
      <c r="P7" s="84"/>
      <c r="Q7" s="84"/>
      <c r="R7" s="84"/>
      <c r="S7" s="84"/>
      <c r="T7" s="84"/>
      <c r="U7" s="84"/>
      <c r="V7" s="84"/>
      <c r="W7" s="84"/>
      <c r="X7" s="84"/>
      <c r="Y7" s="84"/>
      <c r="Z7" s="84"/>
      <c r="AA7" s="84"/>
      <c r="AB7" s="84"/>
      <c r="AC7" s="84"/>
      <c r="AD7" s="84"/>
      <c r="AE7" s="84"/>
      <c r="AF7" s="84"/>
      <c r="AG7" s="84"/>
      <c r="AH7" s="84"/>
      <c r="AI7" s="84"/>
    </row>
    <row r="8" spans="1:41" ht="82.5" x14ac:dyDescent="0.25">
      <c r="A8" s="84"/>
      <c r="E8" s="94">
        <v>501</v>
      </c>
      <c r="F8" s="94">
        <v>5000</v>
      </c>
      <c r="G8" s="102">
        <v>0.60009999999999997</v>
      </c>
      <c r="H8" s="102">
        <v>0.8</v>
      </c>
      <c r="I8" s="103" t="s">
        <v>60</v>
      </c>
      <c r="J8" s="84"/>
      <c r="K8" s="353"/>
      <c r="L8" s="97" t="s">
        <v>105</v>
      </c>
      <c r="M8" s="228" t="s">
        <v>394</v>
      </c>
      <c r="N8" s="98">
        <v>0.1</v>
      </c>
      <c r="O8" s="99" t="s">
        <v>31</v>
      </c>
      <c r="P8" s="84"/>
      <c r="Q8" s="84"/>
      <c r="R8" s="84"/>
      <c r="S8" s="84"/>
      <c r="T8" s="84"/>
      <c r="U8" s="84"/>
      <c r="V8" s="84"/>
      <c r="W8" s="84"/>
      <c r="X8" s="84"/>
      <c r="Y8" s="84"/>
      <c r="Z8" s="84"/>
      <c r="AA8" s="84"/>
      <c r="AB8" s="84"/>
      <c r="AC8" s="84"/>
      <c r="AD8" s="84"/>
      <c r="AE8" s="84"/>
      <c r="AF8" s="84"/>
      <c r="AG8" s="84"/>
      <c r="AH8" s="84"/>
      <c r="AI8" s="84"/>
    </row>
    <row r="9" spans="1:41" ht="165" x14ac:dyDescent="0.25">
      <c r="A9" s="84"/>
      <c r="E9" s="94">
        <v>5001</v>
      </c>
      <c r="F9" s="94">
        <v>10000</v>
      </c>
      <c r="G9" s="104">
        <v>0.80010000000000003</v>
      </c>
      <c r="H9" s="104">
        <v>1</v>
      </c>
      <c r="I9" s="105" t="s">
        <v>106</v>
      </c>
      <c r="J9" s="84"/>
      <c r="K9" s="353" t="s">
        <v>38</v>
      </c>
      <c r="L9" s="97" t="s">
        <v>2</v>
      </c>
      <c r="M9" s="228" t="s">
        <v>395</v>
      </c>
      <c r="N9" s="106">
        <v>0.25</v>
      </c>
      <c r="O9" s="84"/>
      <c r="P9" s="84"/>
      <c r="Q9" s="84"/>
      <c r="R9" s="84"/>
      <c r="S9" s="84"/>
      <c r="T9" s="84"/>
      <c r="U9" s="84"/>
      <c r="V9" s="84"/>
      <c r="W9" s="84"/>
      <c r="X9" s="84"/>
      <c r="Y9" s="84"/>
      <c r="Z9" s="84"/>
      <c r="AA9" s="84"/>
      <c r="AB9" s="84"/>
      <c r="AC9" s="84"/>
      <c r="AD9" s="84"/>
      <c r="AE9" s="84"/>
      <c r="AF9" s="84"/>
      <c r="AG9" s="84"/>
      <c r="AH9" s="84"/>
      <c r="AI9" s="84"/>
    </row>
    <row r="10" spans="1:41" ht="66" x14ac:dyDescent="0.25">
      <c r="A10" s="84"/>
      <c r="B10" s="107"/>
      <c r="C10" s="107"/>
      <c r="D10" s="107"/>
      <c r="E10" s="107"/>
      <c r="F10" s="107"/>
      <c r="G10" s="107"/>
      <c r="H10" s="107"/>
      <c r="I10" s="107"/>
      <c r="J10" s="84"/>
      <c r="K10" s="353"/>
      <c r="L10" s="97" t="s">
        <v>65</v>
      </c>
      <c r="M10" s="228" t="s">
        <v>396</v>
      </c>
      <c r="N10" s="106">
        <v>0.15</v>
      </c>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row>
    <row r="11" spans="1:41" x14ac:dyDescent="0.25">
      <c r="A11" s="84"/>
      <c r="B11" s="357" t="s">
        <v>30</v>
      </c>
      <c r="C11" s="358"/>
      <c r="D11" s="358"/>
      <c r="E11" s="358"/>
      <c r="F11" s="359"/>
      <c r="G11" s="357" t="s">
        <v>31</v>
      </c>
      <c r="H11" s="358"/>
      <c r="I11" s="359"/>
      <c r="J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row>
    <row r="12" spans="1:41" x14ac:dyDescent="0.25">
      <c r="A12" s="84"/>
      <c r="B12" s="366" t="s">
        <v>58</v>
      </c>
      <c r="C12" s="367"/>
      <c r="D12" s="367"/>
      <c r="E12" s="368"/>
      <c r="F12" s="220" t="s">
        <v>102</v>
      </c>
      <c r="G12" s="360" t="s">
        <v>397</v>
      </c>
      <c r="H12" s="360"/>
      <c r="I12" s="361" t="s">
        <v>398</v>
      </c>
      <c r="J12" s="84"/>
      <c r="K12" s="86" t="s">
        <v>399</v>
      </c>
      <c r="L12" s="86" t="s">
        <v>400</v>
      </c>
      <c r="M12" s="86" t="s">
        <v>401</v>
      </c>
      <c r="N12" s="108" t="s">
        <v>402</v>
      </c>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row>
    <row r="13" spans="1:41" x14ac:dyDescent="0.25">
      <c r="A13" s="84"/>
      <c r="B13" s="87" t="s">
        <v>403</v>
      </c>
      <c r="C13" s="87" t="s">
        <v>404</v>
      </c>
      <c r="D13" s="87" t="s">
        <v>405</v>
      </c>
      <c r="E13" s="87" t="s">
        <v>406</v>
      </c>
      <c r="F13" s="87" t="s">
        <v>407</v>
      </c>
      <c r="G13" s="87" t="s">
        <v>385</v>
      </c>
      <c r="H13" s="87" t="s">
        <v>386</v>
      </c>
      <c r="I13" s="362"/>
      <c r="J13" s="84"/>
      <c r="K13" s="109" t="s">
        <v>64</v>
      </c>
      <c r="L13" s="109" t="s">
        <v>2</v>
      </c>
      <c r="M13" s="110" t="str">
        <f>CONCATENATE(K13,L13)</f>
        <v>PreventivoAutomático</v>
      </c>
      <c r="N13" s="133">
        <v>0.5</v>
      </c>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row>
    <row r="14" spans="1:41" ht="115.5" x14ac:dyDescent="0.25">
      <c r="A14" s="84"/>
      <c r="B14" s="111" t="s">
        <v>408</v>
      </c>
      <c r="C14" s="111" t="s">
        <v>409</v>
      </c>
      <c r="D14" s="111" t="s">
        <v>120</v>
      </c>
      <c r="E14" s="111" t="s">
        <v>410</v>
      </c>
      <c r="F14" s="112" t="s">
        <v>411</v>
      </c>
      <c r="G14" s="90">
        <v>0</v>
      </c>
      <c r="H14" s="90">
        <v>0.2</v>
      </c>
      <c r="I14" s="91" t="s">
        <v>121</v>
      </c>
      <c r="J14" s="84"/>
      <c r="K14" s="109" t="s">
        <v>64</v>
      </c>
      <c r="L14" s="109" t="s">
        <v>65</v>
      </c>
      <c r="M14" s="110" t="str">
        <f>CONCATENATE(K14,L14)</f>
        <v>PreventivoManual</v>
      </c>
      <c r="N14" s="133">
        <v>0.4</v>
      </c>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row>
    <row r="15" spans="1:41" ht="115.5" x14ac:dyDescent="0.25">
      <c r="A15" s="84"/>
      <c r="B15" s="113" t="s">
        <v>412</v>
      </c>
      <c r="C15" s="113" t="s">
        <v>413</v>
      </c>
      <c r="D15" s="113" t="s">
        <v>414</v>
      </c>
      <c r="E15" s="113" t="s">
        <v>167</v>
      </c>
      <c r="F15" s="114" t="s">
        <v>415</v>
      </c>
      <c r="G15" s="95">
        <v>0.2001</v>
      </c>
      <c r="H15" s="95">
        <v>0.4</v>
      </c>
      <c r="I15" s="96" t="s">
        <v>66</v>
      </c>
      <c r="J15" s="84"/>
      <c r="K15" s="109" t="s">
        <v>392</v>
      </c>
      <c r="L15" s="109" t="s">
        <v>2</v>
      </c>
      <c r="M15" s="110" t="str">
        <f>CONCATENATE(K15,L15)</f>
        <v>DetectivoAutomático</v>
      </c>
      <c r="N15" s="133">
        <v>0.4</v>
      </c>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row>
    <row r="16" spans="1:41" ht="115.5" x14ac:dyDescent="0.25">
      <c r="A16" s="84"/>
      <c r="B16" s="113" t="s">
        <v>82</v>
      </c>
      <c r="C16" s="113" t="s">
        <v>265</v>
      </c>
      <c r="D16" s="113" t="s">
        <v>185</v>
      </c>
      <c r="E16" s="113" t="s">
        <v>416</v>
      </c>
      <c r="F16" s="114" t="s">
        <v>103</v>
      </c>
      <c r="G16" s="100">
        <v>0.40010000000000001</v>
      </c>
      <c r="H16" s="100">
        <v>0.6</v>
      </c>
      <c r="I16" s="101" t="s">
        <v>84</v>
      </c>
      <c r="J16" s="84"/>
      <c r="K16" s="109" t="s">
        <v>392</v>
      </c>
      <c r="L16" s="109" t="s">
        <v>65</v>
      </c>
      <c r="M16" s="110" t="str">
        <f>CONCATENATE(K16,L16)</f>
        <v>DetectivoManual</v>
      </c>
      <c r="N16" s="133">
        <v>0.3</v>
      </c>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row>
    <row r="17" spans="1:41" ht="93" customHeight="1" x14ac:dyDescent="0.25">
      <c r="A17" s="84"/>
      <c r="B17" s="113" t="s">
        <v>417</v>
      </c>
      <c r="C17" s="113" t="s">
        <v>250</v>
      </c>
      <c r="D17" s="113" t="s">
        <v>59</v>
      </c>
      <c r="E17" s="113" t="s">
        <v>418</v>
      </c>
      <c r="F17" s="114" t="s">
        <v>196</v>
      </c>
      <c r="G17" s="102">
        <v>0.60009999999999997</v>
      </c>
      <c r="H17" s="102">
        <v>0.8</v>
      </c>
      <c r="I17" s="103" t="s">
        <v>61</v>
      </c>
      <c r="J17" s="84"/>
      <c r="K17" s="109" t="s">
        <v>105</v>
      </c>
      <c r="L17" s="109" t="s">
        <v>2</v>
      </c>
      <c r="M17" s="110" t="str">
        <f t="shared" ref="M17" si="0">CONCATENATE(K17,L17)</f>
        <v>CorrectivoAutomático</v>
      </c>
      <c r="N17" s="133">
        <v>0.35</v>
      </c>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row>
    <row r="18" spans="1:41" ht="115.5" x14ac:dyDescent="0.25">
      <c r="A18" s="84"/>
      <c r="B18" s="113" t="s">
        <v>419</v>
      </c>
      <c r="C18" s="113" t="s">
        <v>420</v>
      </c>
      <c r="D18" s="113" t="s">
        <v>94</v>
      </c>
      <c r="E18" s="113" t="s">
        <v>421</v>
      </c>
      <c r="F18" s="114" t="s">
        <v>138</v>
      </c>
      <c r="G18" s="104">
        <v>0.80010000000000003</v>
      </c>
      <c r="H18" s="104">
        <v>1</v>
      </c>
      <c r="I18" s="105" t="s">
        <v>95</v>
      </c>
      <c r="J18" s="84"/>
      <c r="K18" s="109" t="s">
        <v>105</v>
      </c>
      <c r="L18" s="109" t="s">
        <v>65</v>
      </c>
      <c r="M18" s="110" t="str">
        <f>CONCATENATE(K18,L18)</f>
        <v>CorrectivoManual</v>
      </c>
      <c r="N18" s="133">
        <v>0.25</v>
      </c>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row>
    <row r="19" spans="1:41" x14ac:dyDescent="0.25">
      <c r="A19" s="84"/>
      <c r="B19" s="107"/>
      <c r="C19" s="107"/>
      <c r="D19" s="107"/>
      <c r="E19" s="107"/>
      <c r="F19" s="107"/>
      <c r="G19" s="107"/>
      <c r="H19" s="107"/>
      <c r="I19" s="107"/>
      <c r="J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row>
    <row r="20" spans="1:41" x14ac:dyDescent="0.25">
      <c r="B20" s="76" t="s">
        <v>422</v>
      </c>
      <c r="C20" s="76"/>
      <c r="D20" s="76"/>
      <c r="E20" s="76"/>
      <c r="F20" s="76" t="s">
        <v>380</v>
      </c>
      <c r="G20" s="76" t="s">
        <v>31</v>
      </c>
      <c r="H20" s="76" t="s">
        <v>423</v>
      </c>
      <c r="I20" s="76" t="s">
        <v>424</v>
      </c>
      <c r="S20" s="84"/>
      <c r="T20" s="84"/>
      <c r="U20" s="84"/>
      <c r="V20" s="84"/>
      <c r="W20" s="84"/>
      <c r="X20" s="84"/>
      <c r="Y20" s="84"/>
      <c r="Z20" s="84"/>
      <c r="AA20" s="84"/>
      <c r="AB20" s="84"/>
      <c r="AC20" s="84"/>
      <c r="AD20" s="84"/>
      <c r="AE20" s="84"/>
      <c r="AF20" s="84"/>
      <c r="AG20" s="84"/>
      <c r="AH20" s="84"/>
      <c r="AI20" s="84"/>
      <c r="AJ20" s="84"/>
      <c r="AK20" s="84"/>
      <c r="AL20" s="84"/>
      <c r="AM20" s="84"/>
      <c r="AN20" s="84"/>
      <c r="AO20" s="84"/>
    </row>
    <row r="21" spans="1:41" ht="18" x14ac:dyDescent="0.25">
      <c r="B21" s="77" t="str">
        <f t="shared" ref="B21:B45" si="1">CONCATENATE(F21,G21)</f>
        <v>Muy AltaCatastrófico</v>
      </c>
      <c r="C21" s="77"/>
      <c r="D21" s="77"/>
      <c r="E21" s="77"/>
      <c r="F21" s="78" t="s">
        <v>106</v>
      </c>
      <c r="G21" s="78" t="s">
        <v>95</v>
      </c>
      <c r="H21" s="105">
        <v>25</v>
      </c>
      <c r="I21" s="105" t="s">
        <v>425</v>
      </c>
      <c r="K21" s="79"/>
      <c r="L21" s="354" t="s">
        <v>426</v>
      </c>
      <c r="M21" s="354"/>
      <c r="N21" s="354"/>
      <c r="O21" s="354"/>
      <c r="P21" s="354"/>
      <c r="Q21" s="354"/>
      <c r="S21" s="84"/>
      <c r="T21" s="84"/>
      <c r="U21" s="84"/>
      <c r="V21" s="84"/>
      <c r="W21" s="84"/>
      <c r="X21" s="84"/>
      <c r="Y21" s="84"/>
      <c r="Z21" s="84"/>
      <c r="AA21" s="84"/>
      <c r="AB21" s="84"/>
      <c r="AC21" s="84"/>
      <c r="AD21" s="84"/>
      <c r="AE21" s="84"/>
      <c r="AF21" s="84"/>
      <c r="AG21" s="84"/>
      <c r="AH21" s="84"/>
      <c r="AI21" s="84"/>
      <c r="AJ21" s="84"/>
      <c r="AK21" s="84"/>
      <c r="AL21" s="84"/>
      <c r="AM21" s="84"/>
      <c r="AN21" s="84"/>
      <c r="AO21" s="84"/>
    </row>
    <row r="22" spans="1:41" ht="30.75" customHeight="1" x14ac:dyDescent="0.25">
      <c r="B22" s="77" t="str">
        <f t="shared" si="1"/>
        <v>AltaCatastrófico</v>
      </c>
      <c r="C22" s="77"/>
      <c r="D22" s="77"/>
      <c r="E22" s="77"/>
      <c r="F22" s="78" t="s">
        <v>60</v>
      </c>
      <c r="G22" s="78" t="s">
        <v>95</v>
      </c>
      <c r="H22" s="105">
        <v>24</v>
      </c>
      <c r="I22" s="105" t="s">
        <v>425</v>
      </c>
      <c r="K22" s="355" t="s">
        <v>380</v>
      </c>
      <c r="L22" s="187" t="s">
        <v>427</v>
      </c>
      <c r="M22" s="190" t="s">
        <v>114</v>
      </c>
      <c r="N22" s="190"/>
      <c r="O22" s="190" t="s">
        <v>180</v>
      </c>
      <c r="P22" s="190" t="s">
        <v>428</v>
      </c>
      <c r="Q22" s="191" t="s">
        <v>429</v>
      </c>
      <c r="T22" s="84"/>
      <c r="U22" s="84"/>
      <c r="V22" s="84"/>
      <c r="W22" s="84"/>
      <c r="X22" s="84"/>
      <c r="Y22" s="84"/>
      <c r="Z22" s="84"/>
      <c r="AA22" s="84"/>
      <c r="AB22" s="84"/>
      <c r="AC22" s="84"/>
      <c r="AD22" s="84"/>
      <c r="AE22" s="84"/>
      <c r="AF22" s="84"/>
      <c r="AG22" s="84"/>
      <c r="AH22" s="84"/>
      <c r="AI22" s="84"/>
      <c r="AJ22" s="84"/>
      <c r="AK22" s="84"/>
      <c r="AL22" s="84"/>
      <c r="AM22" s="84"/>
      <c r="AN22" s="84"/>
      <c r="AO22" s="84"/>
    </row>
    <row r="23" spans="1:41" ht="30" customHeight="1" x14ac:dyDescent="0.25">
      <c r="B23" s="77" t="str">
        <f t="shared" si="1"/>
        <v>MediaCatastrófico</v>
      </c>
      <c r="C23" s="77"/>
      <c r="D23" s="77"/>
      <c r="E23" s="77"/>
      <c r="F23" s="78" t="s">
        <v>127</v>
      </c>
      <c r="G23" s="78" t="s">
        <v>95</v>
      </c>
      <c r="H23" s="105">
        <v>23</v>
      </c>
      <c r="I23" s="105" t="s">
        <v>425</v>
      </c>
      <c r="K23" s="355"/>
      <c r="L23" s="103" t="s">
        <v>430</v>
      </c>
      <c r="M23" s="193"/>
      <c r="N23" s="193" t="s">
        <v>431</v>
      </c>
      <c r="O23" s="190" t="s">
        <v>432</v>
      </c>
      <c r="P23" s="190" t="s">
        <v>433</v>
      </c>
      <c r="Q23" s="191" t="s">
        <v>434</v>
      </c>
      <c r="T23" s="84"/>
      <c r="U23" s="84"/>
      <c r="V23" s="84"/>
      <c r="W23" s="84"/>
      <c r="X23" s="84"/>
      <c r="Y23" s="84"/>
      <c r="Z23" s="84"/>
      <c r="AA23" s="84"/>
      <c r="AB23" s="84"/>
      <c r="AC23" s="84"/>
      <c r="AD23" s="84"/>
      <c r="AE23" s="84"/>
      <c r="AF23" s="84"/>
      <c r="AG23" s="84"/>
      <c r="AH23" s="84"/>
      <c r="AI23" s="84"/>
      <c r="AJ23" s="84"/>
      <c r="AK23" s="84"/>
      <c r="AL23" s="84"/>
      <c r="AM23" s="84"/>
      <c r="AN23" s="84"/>
      <c r="AO23" s="84"/>
    </row>
    <row r="24" spans="1:41" ht="34.5" customHeight="1" x14ac:dyDescent="0.25">
      <c r="B24" s="77" t="str">
        <f t="shared" si="1"/>
        <v>BajaCatastrófico</v>
      </c>
      <c r="C24" s="77"/>
      <c r="D24" s="77"/>
      <c r="E24" s="77"/>
      <c r="F24" s="78" t="s">
        <v>83</v>
      </c>
      <c r="G24" s="78" t="s">
        <v>95</v>
      </c>
      <c r="H24" s="105">
        <v>22</v>
      </c>
      <c r="I24" s="105" t="s">
        <v>425</v>
      </c>
      <c r="K24" s="355"/>
      <c r="L24" s="115" t="s">
        <v>435</v>
      </c>
      <c r="M24" s="193"/>
      <c r="N24" s="193" t="s">
        <v>308</v>
      </c>
      <c r="O24" s="193" t="s">
        <v>436</v>
      </c>
      <c r="P24" s="190" t="s">
        <v>287</v>
      </c>
      <c r="Q24" s="191"/>
      <c r="T24" s="84"/>
      <c r="U24" s="84"/>
      <c r="V24" s="84"/>
      <c r="W24" s="84"/>
      <c r="X24" s="84"/>
      <c r="Y24" s="84"/>
      <c r="Z24" s="84"/>
      <c r="AA24" s="84"/>
      <c r="AB24" s="84"/>
      <c r="AC24" s="84"/>
      <c r="AD24" s="84"/>
      <c r="AE24" s="84"/>
      <c r="AF24" s="84"/>
      <c r="AG24" s="84"/>
      <c r="AH24" s="84"/>
      <c r="AI24" s="84"/>
      <c r="AJ24" s="84"/>
      <c r="AK24" s="84"/>
      <c r="AL24" s="84"/>
      <c r="AM24" s="84"/>
      <c r="AN24" s="84"/>
      <c r="AO24" s="84"/>
    </row>
    <row r="25" spans="1:41" ht="33" x14ac:dyDescent="0.25">
      <c r="B25" s="77" t="str">
        <f t="shared" si="1"/>
        <v>Muy BajaCatastrófico</v>
      </c>
      <c r="C25" s="77"/>
      <c r="D25" s="77"/>
      <c r="E25" s="77"/>
      <c r="F25" s="78" t="s">
        <v>86</v>
      </c>
      <c r="G25" s="78" t="s">
        <v>95</v>
      </c>
      <c r="H25" s="105">
        <v>21</v>
      </c>
      <c r="I25" s="105" t="s">
        <v>425</v>
      </c>
      <c r="K25" s="355"/>
      <c r="L25" s="194" t="s">
        <v>437</v>
      </c>
      <c r="M25" s="196" t="s">
        <v>174</v>
      </c>
      <c r="N25" s="193" t="s">
        <v>162</v>
      </c>
      <c r="O25" s="193" t="s">
        <v>438</v>
      </c>
      <c r="P25" s="190" t="s">
        <v>439</v>
      </c>
      <c r="Q25" s="191" t="s">
        <v>133</v>
      </c>
      <c r="T25" s="84"/>
      <c r="U25" s="84"/>
      <c r="V25" s="84"/>
      <c r="W25" s="84"/>
      <c r="X25" s="84"/>
      <c r="Y25" s="84"/>
      <c r="Z25" s="84"/>
      <c r="AA25" s="84"/>
      <c r="AB25" s="84"/>
      <c r="AC25" s="84"/>
      <c r="AD25" s="84"/>
      <c r="AE25" s="84"/>
      <c r="AF25" s="84"/>
      <c r="AG25" s="84"/>
      <c r="AH25" s="84"/>
      <c r="AI25" s="84"/>
      <c r="AJ25" s="84"/>
      <c r="AK25" s="84"/>
      <c r="AL25" s="84"/>
      <c r="AM25" s="84"/>
      <c r="AN25" s="84"/>
      <c r="AO25" s="84"/>
    </row>
    <row r="26" spans="1:41" ht="36.75" customHeight="1" x14ac:dyDescent="0.25">
      <c r="B26" s="77" t="str">
        <f t="shared" si="1"/>
        <v>Muy AltaMayor</v>
      </c>
      <c r="C26" s="77"/>
      <c r="D26" s="77"/>
      <c r="E26" s="77"/>
      <c r="F26" s="78" t="s">
        <v>106</v>
      </c>
      <c r="G26" s="78" t="s">
        <v>61</v>
      </c>
      <c r="H26" s="103">
        <v>20</v>
      </c>
      <c r="I26" s="103" t="s">
        <v>440</v>
      </c>
      <c r="K26" s="355"/>
      <c r="L26" s="91" t="s">
        <v>441</v>
      </c>
      <c r="M26" s="196"/>
      <c r="N26" s="196"/>
      <c r="O26" s="193"/>
      <c r="P26" s="190" t="s">
        <v>194</v>
      </c>
      <c r="Q26" s="191"/>
      <c r="T26" s="84"/>
      <c r="U26" s="84"/>
      <c r="V26" s="84"/>
      <c r="W26" s="84"/>
      <c r="X26" s="84"/>
      <c r="Y26" s="84"/>
      <c r="Z26" s="84"/>
      <c r="AA26" s="84"/>
      <c r="AB26" s="84"/>
      <c r="AC26" s="84"/>
      <c r="AD26" s="84"/>
      <c r="AE26" s="84"/>
      <c r="AF26" s="84"/>
      <c r="AG26" s="84"/>
      <c r="AH26" s="84"/>
      <c r="AI26" s="84"/>
      <c r="AJ26" s="84"/>
      <c r="AK26" s="84"/>
      <c r="AL26" s="84"/>
      <c r="AM26" s="84"/>
      <c r="AN26" s="84"/>
      <c r="AO26" s="84"/>
    </row>
    <row r="27" spans="1:41" x14ac:dyDescent="0.25">
      <c r="B27" s="77" t="str">
        <f t="shared" si="1"/>
        <v>AltaMayor</v>
      </c>
      <c r="C27" s="77"/>
      <c r="D27" s="77"/>
      <c r="E27" s="77"/>
      <c r="F27" s="78" t="s">
        <v>60</v>
      </c>
      <c r="G27" s="78" t="s">
        <v>61</v>
      </c>
      <c r="H27" s="103">
        <v>19</v>
      </c>
      <c r="I27" s="103" t="s">
        <v>440</v>
      </c>
      <c r="K27" s="79"/>
      <c r="L27" s="117"/>
      <c r="M27" s="91" t="s">
        <v>442</v>
      </c>
      <c r="N27" s="194" t="s">
        <v>443</v>
      </c>
      <c r="O27" s="115" t="s">
        <v>67</v>
      </c>
      <c r="P27" s="197" t="s">
        <v>444</v>
      </c>
      <c r="Q27" s="187" t="s">
        <v>445</v>
      </c>
      <c r="S27" s="84"/>
      <c r="T27" s="84"/>
      <c r="U27" s="84"/>
      <c r="V27" s="84"/>
      <c r="W27" s="84"/>
      <c r="X27" s="84"/>
      <c r="Y27" s="84"/>
      <c r="Z27" s="84"/>
      <c r="AA27" s="84"/>
      <c r="AB27" s="84"/>
      <c r="AC27" s="84"/>
      <c r="AD27" s="84"/>
      <c r="AE27" s="84"/>
      <c r="AF27" s="84"/>
      <c r="AG27" s="84"/>
      <c r="AH27" s="84"/>
      <c r="AI27" s="84"/>
      <c r="AJ27" s="84"/>
      <c r="AK27" s="84"/>
      <c r="AL27" s="84"/>
      <c r="AM27" s="84"/>
      <c r="AN27" s="84"/>
      <c r="AO27" s="84"/>
    </row>
    <row r="28" spans="1:41" ht="33" x14ac:dyDescent="0.25">
      <c r="B28" s="77" t="str">
        <f t="shared" si="1"/>
        <v>Muy AltaModerado</v>
      </c>
      <c r="C28" s="77"/>
      <c r="D28" s="77"/>
      <c r="E28" s="77"/>
      <c r="F28" s="78" t="s">
        <v>106</v>
      </c>
      <c r="G28" s="78" t="s">
        <v>84</v>
      </c>
      <c r="H28" s="103">
        <v>18</v>
      </c>
      <c r="I28" s="103" t="s">
        <v>440</v>
      </c>
      <c r="K28" s="79"/>
      <c r="L28" s="79"/>
      <c r="M28" s="356" t="s">
        <v>31</v>
      </c>
      <c r="N28" s="356"/>
      <c r="O28" s="356"/>
      <c r="P28" s="356"/>
      <c r="Q28" s="356"/>
      <c r="S28" s="125" t="s">
        <v>446</v>
      </c>
      <c r="T28" s="84"/>
      <c r="U28" s="84"/>
      <c r="V28" s="84"/>
      <c r="W28" s="84"/>
      <c r="X28" s="84"/>
      <c r="Y28" s="84"/>
      <c r="Z28" s="84"/>
      <c r="AA28" s="84"/>
      <c r="AB28" s="84"/>
      <c r="AC28" s="84"/>
      <c r="AD28" s="84"/>
      <c r="AE28" s="84"/>
      <c r="AF28" s="84"/>
      <c r="AG28" s="84"/>
      <c r="AH28" s="84"/>
      <c r="AI28" s="84"/>
      <c r="AJ28" s="84"/>
      <c r="AK28" s="84"/>
      <c r="AL28" s="84"/>
      <c r="AM28" s="84"/>
      <c r="AN28" s="84"/>
      <c r="AO28" s="84"/>
    </row>
    <row r="29" spans="1:41" x14ac:dyDescent="0.25">
      <c r="B29" s="77" t="str">
        <f t="shared" si="1"/>
        <v>MediaMayor</v>
      </c>
      <c r="C29" s="77"/>
      <c r="D29" s="77"/>
      <c r="E29" s="77"/>
      <c r="F29" s="78" t="s">
        <v>127</v>
      </c>
      <c r="G29" s="78" t="s">
        <v>61</v>
      </c>
      <c r="H29" s="103">
        <v>17</v>
      </c>
      <c r="I29" s="103" t="s">
        <v>440</v>
      </c>
      <c r="K29" s="79"/>
      <c r="L29" s="79"/>
      <c r="M29" s="79"/>
      <c r="N29" s="79"/>
      <c r="O29" s="79"/>
      <c r="P29" s="79"/>
      <c r="Q29" s="79"/>
      <c r="S29" s="194" t="s">
        <v>170</v>
      </c>
      <c r="T29" s="84"/>
      <c r="U29" s="84"/>
      <c r="V29" s="84"/>
      <c r="W29" s="84"/>
      <c r="X29" s="84"/>
      <c r="Y29" s="84"/>
      <c r="Z29" s="84"/>
      <c r="AA29" s="84"/>
      <c r="AB29" s="84"/>
      <c r="AC29" s="84"/>
      <c r="AD29" s="84"/>
      <c r="AE29" s="84"/>
      <c r="AF29" s="84"/>
      <c r="AG29" s="84"/>
      <c r="AH29" s="84"/>
      <c r="AI29" s="84"/>
      <c r="AJ29" s="84"/>
      <c r="AK29" s="84"/>
      <c r="AL29" s="84"/>
      <c r="AM29" s="84"/>
      <c r="AN29" s="84"/>
      <c r="AO29" s="84"/>
    </row>
    <row r="30" spans="1:41" x14ac:dyDescent="0.25">
      <c r="B30" s="77" t="str">
        <f t="shared" si="1"/>
        <v>BajaMayor</v>
      </c>
      <c r="C30" s="77"/>
      <c r="D30" s="77"/>
      <c r="E30" s="77"/>
      <c r="F30" s="78" t="s">
        <v>83</v>
      </c>
      <c r="G30" s="78" t="s">
        <v>61</v>
      </c>
      <c r="H30" s="103">
        <v>16</v>
      </c>
      <c r="I30" s="103" t="s">
        <v>440</v>
      </c>
      <c r="K30" s="79"/>
      <c r="L30" s="79"/>
      <c r="N30" s="79"/>
      <c r="O30" s="79"/>
      <c r="P30" s="79"/>
      <c r="Q30" s="79"/>
      <c r="S30" s="115" t="s">
        <v>67</v>
      </c>
      <c r="T30" s="84"/>
      <c r="U30" s="84"/>
      <c r="V30" s="84"/>
      <c r="W30" s="84"/>
      <c r="X30" s="84"/>
      <c r="Y30" s="84"/>
      <c r="Z30" s="84"/>
      <c r="AA30" s="84"/>
      <c r="AB30" s="84"/>
      <c r="AC30" s="84"/>
      <c r="AD30" s="84"/>
      <c r="AE30" s="84"/>
      <c r="AF30" s="84"/>
      <c r="AG30" s="84"/>
      <c r="AH30" s="84"/>
      <c r="AI30" s="84"/>
      <c r="AJ30" s="84"/>
      <c r="AK30" s="84"/>
      <c r="AL30" s="84"/>
      <c r="AM30" s="84"/>
      <c r="AN30" s="84"/>
      <c r="AO30" s="84"/>
    </row>
    <row r="31" spans="1:41" ht="18" x14ac:dyDescent="0.25">
      <c r="B31" s="77" t="str">
        <f t="shared" si="1"/>
        <v>AltaModerado</v>
      </c>
      <c r="C31" s="77"/>
      <c r="D31" s="77"/>
      <c r="E31" s="77"/>
      <c r="F31" s="78" t="s">
        <v>60</v>
      </c>
      <c r="G31" s="78" t="s">
        <v>84</v>
      </c>
      <c r="H31" s="103">
        <v>15</v>
      </c>
      <c r="I31" s="103" t="s">
        <v>440</v>
      </c>
      <c r="K31" s="79"/>
      <c r="L31" s="354" t="s">
        <v>447</v>
      </c>
      <c r="M31" s="354"/>
      <c r="N31" s="354"/>
      <c r="O31" s="354"/>
      <c r="P31" s="354"/>
      <c r="Q31" s="354"/>
      <c r="S31" s="103" t="s">
        <v>97</v>
      </c>
      <c r="T31" s="84"/>
      <c r="U31" s="84"/>
      <c r="V31" s="84"/>
      <c r="W31" s="84"/>
      <c r="X31" s="84"/>
      <c r="Y31" s="84"/>
      <c r="Z31" s="84"/>
      <c r="AA31" s="84"/>
      <c r="AB31" s="84"/>
      <c r="AC31" s="84"/>
      <c r="AD31" s="84"/>
      <c r="AE31" s="84"/>
      <c r="AF31" s="84"/>
      <c r="AG31" s="84"/>
      <c r="AH31" s="84"/>
      <c r="AI31" s="84"/>
      <c r="AJ31" s="84"/>
      <c r="AK31" s="84"/>
      <c r="AL31" s="84"/>
      <c r="AM31" s="84"/>
      <c r="AN31" s="84"/>
      <c r="AO31" s="84"/>
    </row>
    <row r="32" spans="1:41" x14ac:dyDescent="0.25">
      <c r="B32" s="77" t="str">
        <f t="shared" si="1"/>
        <v>Muy AltaMenor</v>
      </c>
      <c r="C32" s="77"/>
      <c r="D32" s="77"/>
      <c r="E32" s="77"/>
      <c r="F32" s="78" t="s">
        <v>106</v>
      </c>
      <c r="G32" s="78" t="s">
        <v>66</v>
      </c>
      <c r="H32" s="103">
        <v>14</v>
      </c>
      <c r="I32" s="103" t="s">
        <v>440</v>
      </c>
      <c r="K32" s="355" t="s">
        <v>380</v>
      </c>
      <c r="L32" s="187" t="s">
        <v>427</v>
      </c>
      <c r="M32" s="190"/>
      <c r="N32" s="190" t="s">
        <v>180</v>
      </c>
      <c r="O32" s="190"/>
      <c r="P32" s="190" t="s">
        <v>448</v>
      </c>
      <c r="Q32" s="191" t="s">
        <v>224</v>
      </c>
      <c r="S32" s="187" t="s">
        <v>62</v>
      </c>
      <c r="T32" s="84"/>
      <c r="U32" s="84"/>
      <c r="V32" s="84"/>
      <c r="W32" s="84"/>
      <c r="X32" s="84"/>
      <c r="Y32" s="84"/>
      <c r="Z32" s="84"/>
      <c r="AA32" s="84"/>
      <c r="AB32" s="84"/>
      <c r="AC32" s="84"/>
      <c r="AD32" s="84"/>
      <c r="AE32" s="84"/>
      <c r="AF32" s="84"/>
      <c r="AG32" s="84"/>
      <c r="AH32" s="84"/>
      <c r="AI32" s="84"/>
    </row>
    <row r="33" spans="1:35" ht="33" x14ac:dyDescent="0.25">
      <c r="B33" s="77" t="str">
        <f t="shared" si="1"/>
        <v>Muy BajaMayor</v>
      </c>
      <c r="C33" s="77"/>
      <c r="D33" s="77"/>
      <c r="E33" s="77"/>
      <c r="F33" s="78" t="s">
        <v>86</v>
      </c>
      <c r="G33" s="78" t="s">
        <v>61</v>
      </c>
      <c r="H33" s="103">
        <v>13</v>
      </c>
      <c r="I33" s="103" t="s">
        <v>440</v>
      </c>
      <c r="K33" s="355"/>
      <c r="L33" s="103" t="s">
        <v>430</v>
      </c>
      <c r="M33" s="193" t="s">
        <v>449</v>
      </c>
      <c r="N33" s="193" t="s">
        <v>450</v>
      </c>
      <c r="O33" s="190" t="s">
        <v>451</v>
      </c>
      <c r="P33" s="190" t="s">
        <v>452</v>
      </c>
      <c r="Q33" s="191"/>
      <c r="S33" s="84"/>
      <c r="T33" s="84"/>
      <c r="U33" s="84"/>
      <c r="V33" s="84"/>
      <c r="W33" s="84"/>
      <c r="X33" s="84"/>
      <c r="Y33" s="84"/>
      <c r="Z33" s="84"/>
      <c r="AA33" s="84"/>
      <c r="AB33" s="84"/>
      <c r="AC33" s="84"/>
      <c r="AD33" s="84"/>
      <c r="AE33" s="84"/>
      <c r="AF33" s="84"/>
      <c r="AG33" s="84"/>
      <c r="AH33" s="84"/>
      <c r="AI33" s="84"/>
    </row>
    <row r="34" spans="1:35" ht="33" x14ac:dyDescent="0.25">
      <c r="B34" s="77" t="str">
        <f t="shared" si="1"/>
        <v>Muy AltaLeve</v>
      </c>
      <c r="C34" s="77"/>
      <c r="D34" s="77"/>
      <c r="E34" s="77"/>
      <c r="F34" s="78" t="s">
        <v>106</v>
      </c>
      <c r="G34" s="78" t="s">
        <v>121</v>
      </c>
      <c r="H34" s="103">
        <v>12</v>
      </c>
      <c r="I34" s="103" t="s">
        <v>440</v>
      </c>
      <c r="K34" s="355"/>
      <c r="L34" s="115" t="s">
        <v>435</v>
      </c>
      <c r="M34" s="245" t="s">
        <v>308</v>
      </c>
      <c r="N34" s="193" t="s">
        <v>453</v>
      </c>
      <c r="O34" s="193"/>
      <c r="P34" s="190"/>
      <c r="Q34" s="191"/>
    </row>
    <row r="35" spans="1:35" ht="33" x14ac:dyDescent="0.25">
      <c r="B35" s="77" t="str">
        <f t="shared" si="1"/>
        <v>MediaModerado</v>
      </c>
      <c r="C35" s="77"/>
      <c r="D35" s="77"/>
      <c r="E35" s="77"/>
      <c r="F35" s="78" t="s">
        <v>127</v>
      </c>
      <c r="G35" s="78" t="s">
        <v>84</v>
      </c>
      <c r="H35" s="115">
        <v>11</v>
      </c>
      <c r="I35" s="115" t="s">
        <v>84</v>
      </c>
      <c r="K35" s="355"/>
      <c r="L35" s="248" t="s">
        <v>437</v>
      </c>
      <c r="M35" s="250" t="s">
        <v>454</v>
      </c>
      <c r="N35" s="249" t="s">
        <v>455</v>
      </c>
      <c r="O35" s="193" t="s">
        <v>456</v>
      </c>
      <c r="P35" s="190"/>
      <c r="Q35" s="191"/>
    </row>
    <row r="36" spans="1:35" ht="17.25" thickBot="1" x14ac:dyDescent="0.3">
      <c r="B36" s="77" t="str">
        <f t="shared" si="1"/>
        <v>BajaModerado</v>
      </c>
      <c r="C36" s="77"/>
      <c r="D36" s="77"/>
      <c r="E36" s="77"/>
      <c r="F36" s="78" t="s">
        <v>83</v>
      </c>
      <c r="G36" s="78" t="s">
        <v>84</v>
      </c>
      <c r="H36" s="115">
        <v>10</v>
      </c>
      <c r="I36" s="115" t="s">
        <v>84</v>
      </c>
      <c r="K36" s="355"/>
      <c r="L36" s="243" t="s">
        <v>441</v>
      </c>
      <c r="M36" s="250"/>
      <c r="N36" s="251"/>
      <c r="O36" s="244" t="s">
        <v>457</v>
      </c>
      <c r="P36" s="190"/>
      <c r="Q36" s="191"/>
    </row>
    <row r="37" spans="1:35" x14ac:dyDescent="0.25">
      <c r="B37" s="77" t="str">
        <f t="shared" si="1"/>
        <v>AltaMenor</v>
      </c>
      <c r="C37" s="77"/>
      <c r="D37" s="77"/>
      <c r="E37" s="77"/>
      <c r="F37" s="78" t="s">
        <v>60</v>
      </c>
      <c r="G37" s="78" t="s">
        <v>66</v>
      </c>
      <c r="H37" s="115">
        <v>9</v>
      </c>
      <c r="I37" s="115" t="s">
        <v>84</v>
      </c>
      <c r="K37" s="79"/>
      <c r="L37" s="117"/>
      <c r="M37" s="246" t="s">
        <v>442</v>
      </c>
      <c r="N37" s="247" t="s">
        <v>443</v>
      </c>
      <c r="O37" s="115" t="s">
        <v>67</v>
      </c>
      <c r="P37" s="197" t="s">
        <v>444</v>
      </c>
      <c r="Q37" s="187" t="s">
        <v>445</v>
      </c>
    </row>
    <row r="38" spans="1:35" x14ac:dyDescent="0.25">
      <c r="B38" s="77" t="str">
        <f t="shared" si="1"/>
        <v>Muy BajaModerado</v>
      </c>
      <c r="C38" s="77"/>
      <c r="D38" s="77"/>
      <c r="E38" s="77"/>
      <c r="F38" s="78" t="s">
        <v>86</v>
      </c>
      <c r="G38" s="78" t="s">
        <v>84</v>
      </c>
      <c r="H38" s="115">
        <v>8</v>
      </c>
      <c r="I38" s="115" t="s">
        <v>84</v>
      </c>
      <c r="K38" s="79"/>
      <c r="L38" s="79"/>
      <c r="M38" s="356" t="s">
        <v>31</v>
      </c>
      <c r="N38" s="356"/>
      <c r="O38" s="356"/>
      <c r="P38" s="356"/>
      <c r="Q38" s="356"/>
    </row>
    <row r="39" spans="1:35" x14ac:dyDescent="0.25">
      <c r="B39" s="77" t="str">
        <f t="shared" si="1"/>
        <v>AltaLeve</v>
      </c>
      <c r="C39" s="77"/>
      <c r="D39" s="77"/>
      <c r="E39" s="77"/>
      <c r="F39" s="78" t="s">
        <v>60</v>
      </c>
      <c r="G39" s="78" t="s">
        <v>121</v>
      </c>
      <c r="H39" s="115">
        <v>7</v>
      </c>
      <c r="I39" s="115" t="s">
        <v>84</v>
      </c>
    </row>
    <row r="40" spans="1:35" x14ac:dyDescent="0.25">
      <c r="B40" s="77" t="str">
        <f t="shared" si="1"/>
        <v>MediaMenor</v>
      </c>
      <c r="C40" s="77"/>
      <c r="D40" s="77"/>
      <c r="E40" s="77"/>
      <c r="F40" s="78" t="s">
        <v>127</v>
      </c>
      <c r="G40" s="78" t="s">
        <v>66</v>
      </c>
      <c r="H40" s="115">
        <v>6</v>
      </c>
      <c r="I40" s="115" t="s">
        <v>84</v>
      </c>
    </row>
    <row r="41" spans="1:35" x14ac:dyDescent="0.25">
      <c r="B41" s="77" t="str">
        <f t="shared" si="1"/>
        <v>BajaMenor</v>
      </c>
      <c r="C41" s="77"/>
      <c r="D41" s="77"/>
      <c r="E41" s="77"/>
      <c r="F41" s="78" t="s">
        <v>83</v>
      </c>
      <c r="G41" s="78" t="s">
        <v>66</v>
      </c>
      <c r="H41" s="115">
        <v>5</v>
      </c>
      <c r="I41" s="115" t="s">
        <v>84</v>
      </c>
    </row>
    <row r="42" spans="1:35" x14ac:dyDescent="0.25">
      <c r="B42" s="77" t="str">
        <f t="shared" si="1"/>
        <v>MediaLeve</v>
      </c>
      <c r="C42" s="77"/>
      <c r="D42" s="77"/>
      <c r="E42" s="77"/>
      <c r="F42" s="78" t="s">
        <v>127</v>
      </c>
      <c r="G42" s="78" t="s">
        <v>121</v>
      </c>
      <c r="H42" s="115">
        <v>4</v>
      </c>
      <c r="I42" s="115" t="s">
        <v>84</v>
      </c>
    </row>
    <row r="43" spans="1:35" x14ac:dyDescent="0.25">
      <c r="A43" s="84"/>
      <c r="B43" s="77" t="str">
        <f t="shared" si="1"/>
        <v>Muy BajaMenor</v>
      </c>
      <c r="C43" s="77"/>
      <c r="D43" s="77"/>
      <c r="E43" s="77"/>
      <c r="F43" s="78" t="s">
        <v>86</v>
      </c>
      <c r="G43" s="78" t="s">
        <v>66</v>
      </c>
      <c r="H43" s="116">
        <v>3</v>
      </c>
      <c r="I43" s="116" t="s">
        <v>458</v>
      </c>
    </row>
    <row r="44" spans="1:35" x14ac:dyDescent="0.25">
      <c r="A44" s="84"/>
      <c r="B44" s="77" t="str">
        <f t="shared" si="1"/>
        <v>BajaLeve</v>
      </c>
      <c r="C44" s="77"/>
      <c r="D44" s="77"/>
      <c r="E44" s="77"/>
      <c r="F44" s="78" t="s">
        <v>83</v>
      </c>
      <c r="G44" s="78" t="s">
        <v>121</v>
      </c>
      <c r="H44" s="116">
        <v>2</v>
      </c>
      <c r="I44" s="116" t="s">
        <v>458</v>
      </c>
    </row>
    <row r="45" spans="1:35" x14ac:dyDescent="0.25">
      <c r="A45" s="84"/>
      <c r="B45" s="77" t="str">
        <f t="shared" si="1"/>
        <v>Muy BajaLeve</v>
      </c>
      <c r="C45" s="77"/>
      <c r="D45" s="77"/>
      <c r="E45" s="77"/>
      <c r="F45" s="78" t="s">
        <v>86</v>
      </c>
      <c r="G45" s="78" t="s">
        <v>121</v>
      </c>
      <c r="H45" s="116">
        <v>1</v>
      </c>
      <c r="I45" s="116" t="s">
        <v>458</v>
      </c>
    </row>
    <row r="46" spans="1:35" x14ac:dyDescent="0.25">
      <c r="A46" s="84"/>
    </row>
    <row r="47" spans="1:35" x14ac:dyDescent="0.25">
      <c r="B47" s="365" t="s">
        <v>459</v>
      </c>
      <c r="C47" s="365"/>
      <c r="D47" s="365"/>
      <c r="E47" s="365"/>
      <c r="F47" s="365"/>
      <c r="G47" s="365"/>
      <c r="H47" s="365"/>
      <c r="I47" s="365"/>
      <c r="J47" s="365"/>
    </row>
    <row r="48" spans="1:35" x14ac:dyDescent="0.25">
      <c r="B48" s="105" t="s">
        <v>427</v>
      </c>
      <c r="C48" s="105"/>
      <c r="D48" s="105"/>
      <c r="E48" s="105"/>
      <c r="F48" s="103">
        <v>12</v>
      </c>
      <c r="G48" s="103">
        <v>14</v>
      </c>
      <c r="H48" s="103">
        <v>18</v>
      </c>
      <c r="I48" s="103">
        <v>20</v>
      </c>
      <c r="J48" s="105">
        <v>25</v>
      </c>
    </row>
    <row r="49" spans="1:17" x14ac:dyDescent="0.25">
      <c r="B49" s="103" t="s">
        <v>430</v>
      </c>
      <c r="C49" s="103"/>
      <c r="D49" s="103"/>
      <c r="E49" s="103"/>
      <c r="F49" s="115">
        <v>7</v>
      </c>
      <c r="G49" s="115">
        <v>9</v>
      </c>
      <c r="H49" s="103">
        <v>15</v>
      </c>
      <c r="I49" s="103">
        <v>19</v>
      </c>
      <c r="J49" s="105">
        <v>24</v>
      </c>
    </row>
    <row r="50" spans="1:17" x14ac:dyDescent="0.25">
      <c r="B50" s="115" t="s">
        <v>435</v>
      </c>
      <c r="C50" s="115"/>
      <c r="D50" s="115"/>
      <c r="E50" s="115"/>
      <c r="F50" s="115">
        <v>4</v>
      </c>
      <c r="G50" s="115">
        <v>6</v>
      </c>
      <c r="H50" s="115">
        <v>11</v>
      </c>
      <c r="I50" s="103">
        <v>17</v>
      </c>
      <c r="J50" s="105">
        <v>23</v>
      </c>
    </row>
    <row r="51" spans="1:17" x14ac:dyDescent="0.25">
      <c r="B51" s="116" t="s">
        <v>437</v>
      </c>
      <c r="C51" s="116"/>
      <c r="D51" s="116"/>
      <c r="E51" s="116"/>
      <c r="F51" s="116">
        <v>2</v>
      </c>
      <c r="G51" s="115">
        <v>5</v>
      </c>
      <c r="H51" s="115">
        <v>10</v>
      </c>
      <c r="I51" s="103">
        <v>16</v>
      </c>
      <c r="J51" s="105">
        <v>22</v>
      </c>
    </row>
    <row r="52" spans="1:17" x14ac:dyDescent="0.25">
      <c r="B52" s="91" t="s">
        <v>441</v>
      </c>
      <c r="C52" s="91"/>
      <c r="D52" s="91"/>
      <c r="E52" s="91"/>
      <c r="F52" s="116">
        <v>1</v>
      </c>
      <c r="G52" s="116">
        <v>3</v>
      </c>
      <c r="H52" s="115">
        <v>8</v>
      </c>
      <c r="I52" s="103">
        <v>13</v>
      </c>
      <c r="J52" s="105">
        <v>21</v>
      </c>
    </row>
    <row r="53" spans="1:17" x14ac:dyDescent="0.25">
      <c r="B53" s="117"/>
      <c r="C53" s="117"/>
      <c r="D53" s="117"/>
      <c r="E53" s="117"/>
      <c r="F53" s="91" t="s">
        <v>442</v>
      </c>
      <c r="G53" s="116" t="s">
        <v>443</v>
      </c>
      <c r="H53" s="115" t="s">
        <v>67</v>
      </c>
      <c r="I53" s="103" t="s">
        <v>444</v>
      </c>
      <c r="J53" s="105" t="s">
        <v>445</v>
      </c>
    </row>
    <row r="55" spans="1:17" x14ac:dyDescent="0.25">
      <c r="B55" s="365" t="s">
        <v>460</v>
      </c>
      <c r="C55" s="365"/>
      <c r="D55" s="365"/>
      <c r="E55" s="365"/>
      <c r="F55" s="365"/>
      <c r="G55" s="365"/>
      <c r="H55" s="365"/>
      <c r="I55" s="365"/>
      <c r="J55" s="365"/>
      <c r="L55" s="363" t="s">
        <v>461</v>
      </c>
      <c r="M55" s="364"/>
      <c r="N55" s="364"/>
      <c r="O55" s="118"/>
      <c r="P55" s="84"/>
      <c r="Q55" s="84"/>
    </row>
    <row r="56" spans="1:17" ht="33" x14ac:dyDescent="0.25">
      <c r="A56" s="187" t="s">
        <v>427</v>
      </c>
      <c r="B56" s="119">
        <v>30</v>
      </c>
      <c r="C56" s="119"/>
      <c r="D56" s="119"/>
      <c r="E56" s="119"/>
      <c r="F56" s="103">
        <f t="shared" ref="F56:J60" si="2">$B56*F$61</f>
        <v>90</v>
      </c>
      <c r="G56" s="103">
        <f t="shared" si="2"/>
        <v>120</v>
      </c>
      <c r="H56" s="103">
        <f t="shared" si="2"/>
        <v>240</v>
      </c>
      <c r="I56" s="103">
        <f t="shared" si="2"/>
        <v>480</v>
      </c>
      <c r="J56" s="105">
        <f t="shared" si="2"/>
        <v>2100</v>
      </c>
      <c r="L56" s="134" t="s">
        <v>462</v>
      </c>
      <c r="M56" s="92" t="s">
        <v>390</v>
      </c>
      <c r="N56" s="93" t="s">
        <v>463</v>
      </c>
      <c r="O56" s="93" t="s">
        <v>464</v>
      </c>
      <c r="P56" s="84"/>
      <c r="Q56" s="84"/>
    </row>
    <row r="57" spans="1:17" ht="132" x14ac:dyDescent="0.25">
      <c r="A57" s="197" t="s">
        <v>430</v>
      </c>
      <c r="B57" s="119">
        <v>17</v>
      </c>
      <c r="C57" s="119"/>
      <c r="D57" s="119"/>
      <c r="E57" s="119"/>
      <c r="F57" s="115">
        <f t="shared" si="2"/>
        <v>51</v>
      </c>
      <c r="G57" s="115">
        <f t="shared" si="2"/>
        <v>68</v>
      </c>
      <c r="H57" s="103">
        <f t="shared" si="2"/>
        <v>136</v>
      </c>
      <c r="I57" s="103">
        <f t="shared" si="2"/>
        <v>272</v>
      </c>
      <c r="J57" s="105">
        <f t="shared" si="2"/>
        <v>1190</v>
      </c>
      <c r="L57" s="353" t="s">
        <v>360</v>
      </c>
      <c r="M57" s="120" t="s">
        <v>465</v>
      </c>
      <c r="N57" s="97" t="s">
        <v>466</v>
      </c>
      <c r="O57" s="352" t="s">
        <v>467</v>
      </c>
      <c r="P57" s="84"/>
      <c r="Q57" s="84"/>
    </row>
    <row r="58" spans="1:17" ht="115.5" x14ac:dyDescent="0.25">
      <c r="A58" s="115" t="s">
        <v>435</v>
      </c>
      <c r="B58" s="119">
        <v>11</v>
      </c>
      <c r="C58" s="119"/>
      <c r="D58" s="119"/>
      <c r="E58" s="119"/>
      <c r="F58" s="115">
        <f t="shared" si="2"/>
        <v>33</v>
      </c>
      <c r="G58" s="115">
        <f t="shared" si="2"/>
        <v>44</v>
      </c>
      <c r="H58" s="115">
        <f t="shared" si="2"/>
        <v>88</v>
      </c>
      <c r="I58" s="103">
        <f t="shared" si="2"/>
        <v>176</v>
      </c>
      <c r="J58" s="105">
        <f t="shared" si="2"/>
        <v>770</v>
      </c>
      <c r="L58" s="353"/>
      <c r="M58" s="120" t="s">
        <v>468</v>
      </c>
      <c r="N58" s="97" t="s">
        <v>469</v>
      </c>
      <c r="O58" s="352"/>
      <c r="P58" s="84"/>
      <c r="Q58" s="84"/>
    </row>
    <row r="59" spans="1:17" ht="82.5" x14ac:dyDescent="0.25">
      <c r="A59" s="194" t="s">
        <v>437</v>
      </c>
      <c r="B59" s="119">
        <v>9</v>
      </c>
      <c r="C59" s="119"/>
      <c r="D59" s="119"/>
      <c r="E59" s="119"/>
      <c r="F59" s="116">
        <f t="shared" si="2"/>
        <v>27</v>
      </c>
      <c r="G59" s="115">
        <f t="shared" si="2"/>
        <v>36</v>
      </c>
      <c r="H59" s="115">
        <f t="shared" si="2"/>
        <v>72</v>
      </c>
      <c r="I59" s="103">
        <f t="shared" si="2"/>
        <v>144</v>
      </c>
      <c r="J59" s="105">
        <f t="shared" si="2"/>
        <v>630</v>
      </c>
      <c r="L59" s="353" t="s">
        <v>28</v>
      </c>
      <c r="M59" s="120" t="s">
        <v>470</v>
      </c>
      <c r="N59" s="97" t="s">
        <v>471</v>
      </c>
      <c r="O59" s="352" t="s">
        <v>472</v>
      </c>
      <c r="P59" s="84"/>
    </row>
    <row r="60" spans="1:17" ht="99" x14ac:dyDescent="0.25">
      <c r="A60" s="91" t="s">
        <v>441</v>
      </c>
      <c r="B60" s="122">
        <v>7</v>
      </c>
      <c r="C60" s="122"/>
      <c r="D60" s="122"/>
      <c r="E60" s="122"/>
      <c r="F60" s="116">
        <f t="shared" si="2"/>
        <v>21</v>
      </c>
      <c r="G60" s="116">
        <f t="shared" si="2"/>
        <v>28</v>
      </c>
      <c r="H60" s="115">
        <f t="shared" si="2"/>
        <v>56</v>
      </c>
      <c r="I60" s="103">
        <f t="shared" si="2"/>
        <v>112</v>
      </c>
      <c r="J60" s="105">
        <f t="shared" si="2"/>
        <v>490</v>
      </c>
      <c r="L60" s="353"/>
      <c r="M60" s="120" t="s">
        <v>473</v>
      </c>
      <c r="N60" s="97" t="s">
        <v>474</v>
      </c>
      <c r="O60" s="352"/>
      <c r="P60" s="84"/>
    </row>
    <row r="61" spans="1:17" ht="66" x14ac:dyDescent="0.25">
      <c r="A61" s="123" t="s">
        <v>380</v>
      </c>
      <c r="B61" s="124"/>
      <c r="C61" s="124"/>
      <c r="D61" s="124"/>
      <c r="E61" s="124"/>
      <c r="F61" s="122">
        <v>3</v>
      </c>
      <c r="G61" s="119">
        <v>4</v>
      </c>
      <c r="H61" s="119">
        <v>8</v>
      </c>
      <c r="I61" s="119">
        <v>16</v>
      </c>
      <c r="J61" s="119">
        <v>70</v>
      </c>
      <c r="L61" s="353" t="s">
        <v>361</v>
      </c>
      <c r="M61" s="120" t="s">
        <v>475</v>
      </c>
      <c r="N61" s="97" t="s">
        <v>476</v>
      </c>
      <c r="O61" s="352" t="s">
        <v>477</v>
      </c>
      <c r="P61" s="84"/>
    </row>
    <row r="62" spans="1:17" ht="49.5" x14ac:dyDescent="0.25">
      <c r="B62" s="123" t="s">
        <v>31</v>
      </c>
      <c r="C62" s="123"/>
      <c r="D62" s="123"/>
      <c r="E62" s="123"/>
      <c r="F62" s="91" t="s">
        <v>442</v>
      </c>
      <c r="G62" s="116" t="s">
        <v>443</v>
      </c>
      <c r="H62" s="115" t="s">
        <v>67</v>
      </c>
      <c r="I62" s="103" t="s">
        <v>444</v>
      </c>
      <c r="J62" s="105" t="s">
        <v>445</v>
      </c>
      <c r="L62" s="353"/>
      <c r="M62" s="120" t="s">
        <v>478</v>
      </c>
      <c r="N62" s="97" t="s">
        <v>479</v>
      </c>
      <c r="O62" s="352"/>
      <c r="P62" s="84"/>
    </row>
    <row r="64" spans="1:17" x14ac:dyDescent="0.25">
      <c r="B64" s="125" t="s">
        <v>480</v>
      </c>
      <c r="C64" s="125"/>
      <c r="D64" s="125"/>
      <c r="E64" s="125"/>
      <c r="F64" s="125" t="s">
        <v>481</v>
      </c>
      <c r="G64" s="125" t="s">
        <v>446</v>
      </c>
    </row>
    <row r="65" spans="1:12" x14ac:dyDescent="0.25">
      <c r="B65" s="126">
        <v>21</v>
      </c>
      <c r="C65" s="126"/>
      <c r="D65" s="126"/>
      <c r="E65" s="126"/>
      <c r="F65" s="127">
        <v>28</v>
      </c>
      <c r="G65" s="128" t="s">
        <v>170</v>
      </c>
    </row>
    <row r="66" spans="1:12" x14ac:dyDescent="0.25">
      <c r="B66" s="126">
        <v>33</v>
      </c>
      <c r="C66" s="126"/>
      <c r="D66" s="126"/>
      <c r="E66" s="126"/>
      <c r="F66" s="127">
        <v>88</v>
      </c>
      <c r="G66" s="129" t="s">
        <v>67</v>
      </c>
    </row>
    <row r="67" spans="1:12" ht="49.5" x14ac:dyDescent="0.25">
      <c r="B67" s="126">
        <v>90</v>
      </c>
      <c r="C67" s="126"/>
      <c r="D67" s="126"/>
      <c r="E67" s="126"/>
      <c r="F67" s="127">
        <v>480</v>
      </c>
      <c r="G67" s="103" t="s">
        <v>97</v>
      </c>
      <c r="L67" s="224" t="s">
        <v>329</v>
      </c>
    </row>
    <row r="68" spans="1:12" x14ac:dyDescent="0.25">
      <c r="B68" s="127">
        <v>490</v>
      </c>
      <c r="C68" s="127"/>
      <c r="D68" s="127"/>
      <c r="E68" s="127"/>
      <c r="F68" s="127">
        <v>2100</v>
      </c>
      <c r="G68" s="105" t="s">
        <v>62</v>
      </c>
      <c r="L68" s="75" t="s">
        <v>482</v>
      </c>
    </row>
    <row r="69" spans="1:12" x14ac:dyDescent="0.25">
      <c r="L69" s="75" t="s">
        <v>483</v>
      </c>
    </row>
    <row r="70" spans="1:12" x14ac:dyDescent="0.25">
      <c r="B70" s="76" t="s">
        <v>484</v>
      </c>
      <c r="C70" s="226"/>
      <c r="D70" s="226"/>
      <c r="E70" s="226"/>
      <c r="G70" s="76" t="s">
        <v>485</v>
      </c>
      <c r="H70" s="76" t="s">
        <v>486</v>
      </c>
      <c r="J70" s="121" t="s">
        <v>28</v>
      </c>
    </row>
    <row r="71" spans="1:12" ht="33" x14ac:dyDescent="0.25">
      <c r="A71" s="130">
        <v>1</v>
      </c>
      <c r="B71" s="131" t="s">
        <v>107</v>
      </c>
      <c r="C71" s="227"/>
      <c r="D71" s="227"/>
      <c r="E71" s="227"/>
      <c r="G71" s="131" t="s">
        <v>75</v>
      </c>
      <c r="H71" s="131" t="s">
        <v>78</v>
      </c>
      <c r="J71" s="131" t="s">
        <v>487</v>
      </c>
      <c r="L71" s="224" t="s">
        <v>47</v>
      </c>
    </row>
    <row r="72" spans="1:12" x14ac:dyDescent="0.25">
      <c r="A72" s="130">
        <v>2</v>
      </c>
      <c r="B72" s="131" t="s">
        <v>488</v>
      </c>
      <c r="C72" s="227"/>
      <c r="D72" s="227"/>
      <c r="E72" s="227"/>
      <c r="G72" s="131" t="s">
        <v>115</v>
      </c>
      <c r="H72" s="131" t="s">
        <v>164</v>
      </c>
      <c r="J72" s="131" t="s">
        <v>489</v>
      </c>
      <c r="L72" s="75" t="s">
        <v>71</v>
      </c>
    </row>
    <row r="73" spans="1:12" ht="33" x14ac:dyDescent="0.25">
      <c r="A73" s="130">
        <v>3</v>
      </c>
      <c r="B73" s="131" t="s">
        <v>48</v>
      </c>
      <c r="C73" s="227"/>
      <c r="D73" s="227"/>
      <c r="E73" s="227"/>
      <c r="G73" s="131" t="s">
        <v>89</v>
      </c>
      <c r="H73" s="131" t="s">
        <v>54</v>
      </c>
      <c r="J73" s="131" t="s">
        <v>490</v>
      </c>
      <c r="L73" s="75" t="s">
        <v>491</v>
      </c>
    </row>
    <row r="74" spans="1:12" x14ac:dyDescent="0.25">
      <c r="A74" s="130">
        <v>4</v>
      </c>
      <c r="B74" s="131" t="s">
        <v>72</v>
      </c>
      <c r="C74" s="227"/>
      <c r="D74" s="227"/>
      <c r="E74" s="227"/>
      <c r="G74" s="131" t="s">
        <v>492</v>
      </c>
      <c r="J74" s="131" t="s">
        <v>493</v>
      </c>
      <c r="L74" s="75" t="s">
        <v>494</v>
      </c>
    </row>
    <row r="75" spans="1:12" x14ac:dyDescent="0.25">
      <c r="A75" s="130">
        <v>5</v>
      </c>
      <c r="B75" s="131" t="s">
        <v>131</v>
      </c>
      <c r="C75" s="227"/>
      <c r="D75" s="227"/>
      <c r="E75" s="227"/>
      <c r="G75" s="131" t="s">
        <v>51</v>
      </c>
      <c r="J75" s="131" t="s">
        <v>495</v>
      </c>
      <c r="L75" s="75" t="s">
        <v>496</v>
      </c>
    </row>
    <row r="76" spans="1:12" ht="49.5" x14ac:dyDescent="0.25">
      <c r="A76" s="130">
        <v>6</v>
      </c>
      <c r="B76" s="131" t="s">
        <v>145</v>
      </c>
      <c r="C76" s="227"/>
      <c r="D76" s="227"/>
      <c r="E76" s="227"/>
      <c r="G76" s="131" t="s">
        <v>100</v>
      </c>
      <c r="J76" s="131" t="s">
        <v>497</v>
      </c>
    </row>
    <row r="77" spans="1:12" x14ac:dyDescent="0.25">
      <c r="A77" s="130">
        <v>7</v>
      </c>
      <c r="B77" s="131" t="s">
        <v>498</v>
      </c>
      <c r="C77" s="227"/>
      <c r="D77" s="227"/>
      <c r="E77" s="227"/>
      <c r="J77" s="131" t="s">
        <v>474</v>
      </c>
    </row>
    <row r="78" spans="1:12" ht="33" x14ac:dyDescent="0.25">
      <c r="A78" s="130">
        <v>8</v>
      </c>
      <c r="B78" s="131" t="s">
        <v>215</v>
      </c>
      <c r="C78" s="227"/>
      <c r="D78" s="227"/>
      <c r="E78" s="227"/>
    </row>
    <row r="79" spans="1:12" x14ac:dyDescent="0.25">
      <c r="A79" s="130">
        <v>9</v>
      </c>
      <c r="B79" s="131" t="s">
        <v>192</v>
      </c>
      <c r="C79" s="227"/>
      <c r="D79" s="227"/>
      <c r="E79" s="227"/>
    </row>
    <row r="80" spans="1:12" ht="33" x14ac:dyDescent="0.25">
      <c r="A80" s="130">
        <v>10</v>
      </c>
      <c r="B80" s="131" t="s">
        <v>112</v>
      </c>
      <c r="C80" s="227"/>
      <c r="D80" s="227"/>
      <c r="E80" s="227"/>
    </row>
    <row r="81" spans="1:9" ht="33" x14ac:dyDescent="0.25">
      <c r="A81" s="130">
        <v>11</v>
      </c>
      <c r="B81" s="131" t="s">
        <v>244</v>
      </c>
      <c r="C81" s="227"/>
      <c r="D81" s="227"/>
      <c r="E81" s="227"/>
    </row>
    <row r="82" spans="1:9" ht="33" x14ac:dyDescent="0.25">
      <c r="A82" s="130">
        <v>12</v>
      </c>
      <c r="B82" s="131" t="s">
        <v>499</v>
      </c>
      <c r="C82" s="227"/>
      <c r="D82" s="227"/>
      <c r="E82" s="227"/>
    </row>
    <row r="83" spans="1:9" x14ac:dyDescent="0.25">
      <c r="A83" s="130">
        <v>13</v>
      </c>
      <c r="B83" s="131" t="s">
        <v>207</v>
      </c>
      <c r="C83" s="227"/>
      <c r="D83" s="227"/>
      <c r="E83" s="227"/>
    </row>
    <row r="85" spans="1:9" x14ac:dyDescent="0.25">
      <c r="B85" s="76" t="s">
        <v>500</v>
      </c>
      <c r="C85" s="76"/>
      <c r="D85" s="76"/>
      <c r="E85" s="76"/>
      <c r="F85" s="76" t="s">
        <v>501</v>
      </c>
      <c r="G85" s="76" t="s">
        <v>502</v>
      </c>
      <c r="I85" s="76" t="s">
        <v>500</v>
      </c>
    </row>
    <row r="86" spans="1:9" ht="49.5" x14ac:dyDescent="0.25">
      <c r="A86" s="130" t="s">
        <v>503</v>
      </c>
      <c r="B86" s="131" t="s">
        <v>484</v>
      </c>
      <c r="C86" s="131"/>
      <c r="D86" s="131"/>
      <c r="E86" s="131"/>
      <c r="F86" s="131" t="s">
        <v>504</v>
      </c>
      <c r="G86" s="131" t="s">
        <v>505</v>
      </c>
      <c r="H86" s="132">
        <v>1</v>
      </c>
      <c r="I86" s="131" t="s">
        <v>289</v>
      </c>
    </row>
    <row r="87" spans="1:9" ht="49.5" x14ac:dyDescent="0.25">
      <c r="A87" s="130" t="s">
        <v>506</v>
      </c>
      <c r="B87" s="131" t="s">
        <v>484</v>
      </c>
      <c r="C87" s="131"/>
      <c r="D87" s="131"/>
      <c r="E87" s="131"/>
      <c r="F87" s="131" t="s">
        <v>504</v>
      </c>
      <c r="G87" s="131" t="s">
        <v>507</v>
      </c>
      <c r="H87" s="132">
        <v>2</v>
      </c>
      <c r="I87" s="131" t="s">
        <v>53</v>
      </c>
    </row>
    <row r="88" spans="1:9" ht="49.5" x14ac:dyDescent="0.25">
      <c r="A88" s="130" t="s">
        <v>508</v>
      </c>
      <c r="B88" s="131" t="s">
        <v>484</v>
      </c>
      <c r="C88" s="131"/>
      <c r="D88" s="131"/>
      <c r="E88" s="131"/>
      <c r="F88" s="131" t="s">
        <v>504</v>
      </c>
      <c r="G88" s="131" t="s">
        <v>509</v>
      </c>
      <c r="H88" s="132">
        <v>3</v>
      </c>
      <c r="I88" s="131" t="s">
        <v>91</v>
      </c>
    </row>
    <row r="89" spans="1:9" ht="49.5" x14ac:dyDescent="0.25">
      <c r="A89" s="130" t="s">
        <v>510</v>
      </c>
      <c r="B89" s="131" t="s">
        <v>484</v>
      </c>
      <c r="C89" s="131"/>
      <c r="D89" s="131"/>
      <c r="E89" s="131"/>
      <c r="F89" s="131" t="s">
        <v>504</v>
      </c>
      <c r="G89" s="131" t="s">
        <v>511</v>
      </c>
      <c r="H89" s="132">
        <v>4</v>
      </c>
      <c r="I89" s="131" t="s">
        <v>512</v>
      </c>
    </row>
    <row r="90" spans="1:9" ht="49.5" x14ac:dyDescent="0.25">
      <c r="A90" s="130" t="s">
        <v>513</v>
      </c>
      <c r="B90" s="131" t="s">
        <v>514</v>
      </c>
      <c r="C90" s="131"/>
      <c r="D90" s="131"/>
      <c r="E90" s="131"/>
      <c r="F90" s="131" t="s">
        <v>515</v>
      </c>
      <c r="G90" s="131" t="s">
        <v>516</v>
      </c>
      <c r="H90" s="132">
        <v>5</v>
      </c>
      <c r="I90" s="131" t="s">
        <v>77</v>
      </c>
    </row>
    <row r="91" spans="1:9" ht="49.5" x14ac:dyDescent="0.25">
      <c r="A91" s="130" t="s">
        <v>517</v>
      </c>
      <c r="B91" s="131" t="s">
        <v>514</v>
      </c>
      <c r="C91" s="131"/>
      <c r="D91" s="131"/>
      <c r="E91" s="131"/>
      <c r="F91" s="131" t="s">
        <v>515</v>
      </c>
      <c r="G91" s="131" t="s">
        <v>518</v>
      </c>
    </row>
    <row r="92" spans="1:9" ht="49.5" x14ac:dyDescent="0.25">
      <c r="A92" s="130" t="s">
        <v>519</v>
      </c>
      <c r="B92" s="131" t="s">
        <v>514</v>
      </c>
      <c r="C92" s="131"/>
      <c r="D92" s="131"/>
      <c r="E92" s="131"/>
      <c r="F92" s="131" t="s">
        <v>515</v>
      </c>
      <c r="G92" s="131" t="s">
        <v>520</v>
      </c>
    </row>
    <row r="93" spans="1:9" ht="33" x14ac:dyDescent="0.25">
      <c r="A93" s="130" t="s">
        <v>521</v>
      </c>
      <c r="B93" s="131" t="s">
        <v>522</v>
      </c>
      <c r="C93" s="131"/>
      <c r="D93" s="131"/>
      <c r="E93" s="131"/>
      <c r="F93" s="131" t="s">
        <v>523</v>
      </c>
      <c r="G93" s="131" t="s">
        <v>524</v>
      </c>
    </row>
    <row r="94" spans="1:9" ht="33" x14ac:dyDescent="0.25">
      <c r="A94" s="130" t="s">
        <v>525</v>
      </c>
      <c r="B94" s="131" t="s">
        <v>522</v>
      </c>
      <c r="C94" s="131"/>
      <c r="D94" s="131"/>
      <c r="E94" s="131"/>
      <c r="F94" s="131" t="s">
        <v>523</v>
      </c>
      <c r="G94" s="131" t="s">
        <v>526</v>
      </c>
    </row>
    <row r="95" spans="1:9" ht="33" x14ac:dyDescent="0.25">
      <c r="A95" s="130" t="s">
        <v>527</v>
      </c>
      <c r="B95" s="131" t="s">
        <v>522</v>
      </c>
      <c r="C95" s="131"/>
      <c r="D95" s="131"/>
      <c r="E95" s="131"/>
      <c r="F95" s="131" t="s">
        <v>523</v>
      </c>
      <c r="G95" s="131" t="s">
        <v>528</v>
      </c>
    </row>
    <row r="96" spans="1:9" ht="33" x14ac:dyDescent="0.25">
      <c r="A96" s="130" t="s">
        <v>529</v>
      </c>
      <c r="B96" s="131" t="s">
        <v>522</v>
      </c>
      <c r="C96" s="131"/>
      <c r="D96" s="131"/>
      <c r="E96" s="131"/>
      <c r="F96" s="131" t="s">
        <v>523</v>
      </c>
      <c r="G96" s="131" t="s">
        <v>530</v>
      </c>
    </row>
    <row r="97" spans="1:8" ht="49.5" x14ac:dyDescent="0.25">
      <c r="A97" s="130" t="s">
        <v>531</v>
      </c>
      <c r="B97" s="131" t="s">
        <v>532</v>
      </c>
      <c r="C97" s="131"/>
      <c r="D97" s="131"/>
      <c r="E97" s="131"/>
      <c r="F97" s="131" t="s">
        <v>533</v>
      </c>
      <c r="G97" s="131" t="s">
        <v>534</v>
      </c>
    </row>
    <row r="98" spans="1:8" ht="49.5" x14ac:dyDescent="0.25">
      <c r="A98" s="130" t="s">
        <v>535</v>
      </c>
      <c r="B98" s="131" t="s">
        <v>532</v>
      </c>
      <c r="C98" s="131"/>
      <c r="D98" s="131"/>
      <c r="E98" s="131"/>
      <c r="F98" s="131" t="s">
        <v>533</v>
      </c>
      <c r="G98" s="131" t="s">
        <v>536</v>
      </c>
    </row>
    <row r="99" spans="1:8" ht="49.5" x14ac:dyDescent="0.25">
      <c r="A99" s="130" t="s">
        <v>537</v>
      </c>
      <c r="B99" s="131" t="s">
        <v>532</v>
      </c>
      <c r="C99" s="131"/>
      <c r="D99" s="131"/>
      <c r="E99" s="131"/>
      <c r="F99" s="131" t="s">
        <v>533</v>
      </c>
      <c r="G99" s="131" t="s">
        <v>538</v>
      </c>
    </row>
    <row r="100" spans="1:8" ht="33" x14ac:dyDescent="0.25">
      <c r="A100" s="130" t="s">
        <v>539</v>
      </c>
      <c r="B100" s="131" t="s">
        <v>532</v>
      </c>
      <c r="C100" s="131"/>
      <c r="D100" s="131"/>
      <c r="E100" s="131"/>
      <c r="F100" s="131" t="s">
        <v>540</v>
      </c>
      <c r="G100" s="131" t="s">
        <v>541</v>
      </c>
    </row>
    <row r="101" spans="1:8" x14ac:dyDescent="0.25">
      <c r="A101" s="130" t="s">
        <v>542</v>
      </c>
      <c r="B101" s="131" t="s">
        <v>543</v>
      </c>
      <c r="C101" s="131"/>
      <c r="D101" s="131"/>
      <c r="E101" s="131"/>
      <c r="F101" s="131" t="s">
        <v>544</v>
      </c>
      <c r="G101" s="131" t="s">
        <v>545</v>
      </c>
    </row>
    <row r="102" spans="1:8" x14ac:dyDescent="0.25">
      <c r="A102" s="130" t="s">
        <v>546</v>
      </c>
      <c r="B102" s="131" t="s">
        <v>543</v>
      </c>
      <c r="C102" s="131"/>
      <c r="D102" s="131"/>
      <c r="E102" s="131"/>
      <c r="F102" s="131" t="s">
        <v>544</v>
      </c>
      <c r="G102" s="131" t="s">
        <v>547</v>
      </c>
    </row>
    <row r="103" spans="1:8" ht="33" x14ac:dyDescent="0.25">
      <c r="A103" s="130" t="s">
        <v>548</v>
      </c>
      <c r="B103" s="131" t="s">
        <v>543</v>
      </c>
      <c r="C103" s="131"/>
      <c r="D103" s="131"/>
      <c r="E103" s="131"/>
      <c r="F103" s="131" t="s">
        <v>544</v>
      </c>
      <c r="G103" s="131" t="s">
        <v>549</v>
      </c>
    </row>
    <row r="105" spans="1:8" x14ac:dyDescent="0.25">
      <c r="B105" s="76" t="s">
        <v>550</v>
      </c>
      <c r="C105" s="76"/>
      <c r="D105" s="76"/>
      <c r="E105" s="76"/>
      <c r="F105" s="76" t="s">
        <v>390</v>
      </c>
      <c r="H105" s="76" t="s">
        <v>42</v>
      </c>
    </row>
    <row r="106" spans="1:8" ht="66" x14ac:dyDescent="0.25">
      <c r="A106" s="130">
        <v>1</v>
      </c>
      <c r="B106" s="131" t="s">
        <v>551</v>
      </c>
      <c r="C106" s="131"/>
      <c r="D106" s="131"/>
      <c r="E106" s="131"/>
      <c r="F106" s="131" t="s">
        <v>552</v>
      </c>
      <c r="H106" s="131" t="s">
        <v>171</v>
      </c>
    </row>
    <row r="107" spans="1:8" ht="132" x14ac:dyDescent="0.25">
      <c r="A107" s="130">
        <v>2</v>
      </c>
      <c r="B107" s="131" t="s">
        <v>553</v>
      </c>
      <c r="C107" s="131"/>
      <c r="D107" s="131"/>
      <c r="E107" s="131"/>
      <c r="F107" s="131" t="s">
        <v>554</v>
      </c>
      <c r="H107" s="131" t="s">
        <v>555</v>
      </c>
    </row>
    <row r="108" spans="1:8" ht="49.5" x14ac:dyDescent="0.25">
      <c r="A108" s="130">
        <v>3</v>
      </c>
      <c r="B108" s="131" t="s">
        <v>556</v>
      </c>
      <c r="C108" s="131"/>
      <c r="D108" s="131"/>
      <c r="E108" s="131"/>
      <c r="F108" s="131" t="s">
        <v>557</v>
      </c>
      <c r="H108" s="131" t="s">
        <v>238</v>
      </c>
    </row>
    <row r="109" spans="1:8" ht="49.5" x14ac:dyDescent="0.25">
      <c r="A109" s="130">
        <v>4</v>
      </c>
      <c r="B109" s="131" t="s">
        <v>558</v>
      </c>
      <c r="C109" s="131"/>
      <c r="D109" s="131"/>
      <c r="E109" s="131"/>
      <c r="F109" s="131" t="s">
        <v>559</v>
      </c>
      <c r="H109" s="131" t="s">
        <v>68</v>
      </c>
    </row>
    <row r="110" spans="1:8" ht="49.5" x14ac:dyDescent="0.25">
      <c r="A110" s="130">
        <v>5</v>
      </c>
      <c r="B110" s="131" t="s">
        <v>560</v>
      </c>
      <c r="C110" s="131"/>
      <c r="D110" s="131"/>
      <c r="E110" s="131"/>
      <c r="F110" s="131" t="s">
        <v>561</v>
      </c>
    </row>
    <row r="111" spans="1:8" ht="148.5" x14ac:dyDescent="0.25">
      <c r="A111" s="130">
        <v>6</v>
      </c>
      <c r="B111" s="131" t="s">
        <v>562</v>
      </c>
      <c r="C111" s="131"/>
      <c r="D111" s="131"/>
      <c r="E111" s="131"/>
      <c r="F111" s="131" t="s">
        <v>563</v>
      </c>
    </row>
    <row r="112" spans="1:8" ht="66" x14ac:dyDescent="0.25">
      <c r="A112" s="130">
        <v>7</v>
      </c>
      <c r="B112" s="131" t="s">
        <v>564</v>
      </c>
      <c r="C112" s="131"/>
      <c r="D112" s="131"/>
      <c r="E112" s="131"/>
      <c r="F112" s="131" t="s">
        <v>565</v>
      </c>
    </row>
    <row r="113" spans="1:6" ht="66" x14ac:dyDescent="0.25">
      <c r="A113" s="130">
        <v>8</v>
      </c>
      <c r="B113" s="131" t="s">
        <v>566</v>
      </c>
      <c r="C113" s="131"/>
      <c r="D113" s="131"/>
      <c r="E113" s="131"/>
      <c r="F113" s="131" t="s">
        <v>567</v>
      </c>
    </row>
  </sheetData>
  <sortState xmlns:xlrd2="http://schemas.microsoft.com/office/spreadsheetml/2017/richdata2" ref="G71:G78">
    <sortCondition ref="G71:G78"/>
  </sortState>
  <mergeCells count="29">
    <mergeCell ref="E3:F3"/>
    <mergeCell ref="E2:F2"/>
    <mergeCell ref="G2:I2"/>
    <mergeCell ref="K2:N2"/>
    <mergeCell ref="G3:H3"/>
    <mergeCell ref="I3:I4"/>
    <mergeCell ref="K4:N4"/>
    <mergeCell ref="B11:F11"/>
    <mergeCell ref="G11:I11"/>
    <mergeCell ref="G12:H12"/>
    <mergeCell ref="I12:I13"/>
    <mergeCell ref="L55:N55"/>
    <mergeCell ref="B47:J47"/>
    <mergeCell ref="B55:J55"/>
    <mergeCell ref="B12:E12"/>
    <mergeCell ref="O57:O58"/>
    <mergeCell ref="O59:O60"/>
    <mergeCell ref="O61:O62"/>
    <mergeCell ref="K6:K8"/>
    <mergeCell ref="K9:K10"/>
    <mergeCell ref="L57:L58"/>
    <mergeCell ref="L59:L60"/>
    <mergeCell ref="L61:L62"/>
    <mergeCell ref="L21:Q21"/>
    <mergeCell ref="K22:K26"/>
    <mergeCell ref="M28:Q28"/>
    <mergeCell ref="L31:Q31"/>
    <mergeCell ref="K32:K36"/>
    <mergeCell ref="M38:Q38"/>
  </mergeCells>
  <phoneticPr fontId="14" type="noConversion"/>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E3336-20C0-431B-85B8-1B0AD06BAEF9}">
  <sheetPr>
    <tabColor rgb="FFFFFF00"/>
  </sheetPr>
  <dimension ref="A1:A48"/>
  <sheetViews>
    <sheetView zoomScale="110" zoomScaleNormal="110" workbookViewId="0">
      <selection activeCell="A3" sqref="A3"/>
    </sheetView>
  </sheetViews>
  <sheetFormatPr baseColWidth="10" defaultColWidth="11.42578125" defaultRowHeight="15" x14ac:dyDescent="0.25"/>
  <cols>
    <col min="1" max="1" width="47" customWidth="1"/>
  </cols>
  <sheetData>
    <row r="1" spans="1:1" x14ac:dyDescent="0.25">
      <c r="A1" s="240" t="s">
        <v>568</v>
      </c>
    </row>
    <row r="2" spans="1:1" x14ac:dyDescent="0.25">
      <c r="A2" s="241" t="s">
        <v>569</v>
      </c>
    </row>
    <row r="3" spans="1:1" x14ac:dyDescent="0.25">
      <c r="A3" s="241" t="s">
        <v>262</v>
      </c>
    </row>
    <row r="4" spans="1:1" x14ac:dyDescent="0.25">
      <c r="A4" s="241" t="s">
        <v>570</v>
      </c>
    </row>
    <row r="5" spans="1:1" x14ac:dyDescent="0.25">
      <c r="A5" s="241" t="s">
        <v>571</v>
      </c>
    </row>
    <row r="6" spans="1:1" x14ac:dyDescent="0.25">
      <c r="A6" s="241" t="s">
        <v>572</v>
      </c>
    </row>
    <row r="7" spans="1:1" x14ac:dyDescent="0.25">
      <c r="A7" s="241" t="s">
        <v>573</v>
      </c>
    </row>
    <row r="8" spans="1:1" x14ac:dyDescent="0.25">
      <c r="A8" s="241" t="s">
        <v>574</v>
      </c>
    </row>
    <row r="9" spans="1:1" x14ac:dyDescent="0.25">
      <c r="A9" s="241" t="s">
        <v>575</v>
      </c>
    </row>
    <row r="10" spans="1:1" x14ac:dyDescent="0.25">
      <c r="A10" s="241" t="s">
        <v>576</v>
      </c>
    </row>
    <row r="11" spans="1:1" x14ac:dyDescent="0.25">
      <c r="A11" s="241" t="s">
        <v>577</v>
      </c>
    </row>
    <row r="12" spans="1:1" x14ac:dyDescent="0.25">
      <c r="A12" s="241" t="s">
        <v>578</v>
      </c>
    </row>
    <row r="13" spans="1:1" x14ac:dyDescent="0.25">
      <c r="A13" s="241" t="s">
        <v>579</v>
      </c>
    </row>
    <row r="14" spans="1:1" x14ac:dyDescent="0.25">
      <c r="A14" s="241" t="s">
        <v>580</v>
      </c>
    </row>
    <row r="15" spans="1:1" x14ac:dyDescent="0.25">
      <c r="A15" s="241" t="s">
        <v>581</v>
      </c>
    </row>
    <row r="16" spans="1:1" x14ac:dyDescent="0.25">
      <c r="A16" s="241" t="s">
        <v>536</v>
      </c>
    </row>
    <row r="17" spans="1:1" x14ac:dyDescent="0.25">
      <c r="A17" s="241" t="s">
        <v>582</v>
      </c>
    </row>
    <row r="18" spans="1:1" x14ac:dyDescent="0.25">
      <c r="A18" s="241" t="s">
        <v>583</v>
      </c>
    </row>
    <row r="19" spans="1:1" x14ac:dyDescent="0.25">
      <c r="A19" s="241" t="s">
        <v>584</v>
      </c>
    </row>
    <row r="20" spans="1:1" x14ac:dyDescent="0.25">
      <c r="A20" s="241" t="s">
        <v>219</v>
      </c>
    </row>
    <row r="21" spans="1:1" ht="22.5" x14ac:dyDescent="0.25">
      <c r="A21" s="241" t="s">
        <v>585</v>
      </c>
    </row>
    <row r="22" spans="1:1" x14ac:dyDescent="0.25">
      <c r="A22" s="241" t="s">
        <v>586</v>
      </c>
    </row>
    <row r="23" spans="1:1" x14ac:dyDescent="0.25">
      <c r="A23" s="241" t="s">
        <v>587</v>
      </c>
    </row>
    <row r="24" spans="1:1" x14ac:dyDescent="0.25">
      <c r="A24" s="241" t="s">
        <v>588</v>
      </c>
    </row>
    <row r="25" spans="1:1" x14ac:dyDescent="0.25">
      <c r="A25" s="241" t="s">
        <v>589</v>
      </c>
    </row>
    <row r="26" spans="1:1" x14ac:dyDescent="0.25">
      <c r="A26" s="241" t="s">
        <v>590</v>
      </c>
    </row>
    <row r="27" spans="1:1" x14ac:dyDescent="0.25">
      <c r="A27" s="241" t="s">
        <v>591</v>
      </c>
    </row>
    <row r="28" spans="1:1" ht="22.5" x14ac:dyDescent="0.25">
      <c r="A28" s="241" t="s">
        <v>592</v>
      </c>
    </row>
    <row r="29" spans="1:1" x14ac:dyDescent="0.25">
      <c r="A29" s="241" t="s">
        <v>593</v>
      </c>
    </row>
    <row r="30" spans="1:1" x14ac:dyDescent="0.25">
      <c r="A30" s="241" t="s">
        <v>594</v>
      </c>
    </row>
    <row r="31" spans="1:1" x14ac:dyDescent="0.25">
      <c r="A31" s="241" t="s">
        <v>595</v>
      </c>
    </row>
    <row r="32" spans="1:1" x14ac:dyDescent="0.25">
      <c r="A32" s="241" t="s">
        <v>596</v>
      </c>
    </row>
    <row r="33" spans="1:1" x14ac:dyDescent="0.25">
      <c r="A33" s="241" t="s">
        <v>597</v>
      </c>
    </row>
    <row r="34" spans="1:1" x14ac:dyDescent="0.25">
      <c r="A34" s="241" t="s">
        <v>598</v>
      </c>
    </row>
    <row r="35" spans="1:1" x14ac:dyDescent="0.25">
      <c r="A35" s="241" t="s">
        <v>599</v>
      </c>
    </row>
    <row r="36" spans="1:1" x14ac:dyDescent="0.25">
      <c r="A36" s="241" t="s">
        <v>600</v>
      </c>
    </row>
    <row r="37" spans="1:1" x14ac:dyDescent="0.25">
      <c r="A37" s="241" t="s">
        <v>601</v>
      </c>
    </row>
    <row r="38" spans="1:1" x14ac:dyDescent="0.25">
      <c r="A38" s="241" t="s">
        <v>602</v>
      </c>
    </row>
    <row r="39" spans="1:1" x14ac:dyDescent="0.25">
      <c r="A39" s="241" t="s">
        <v>603</v>
      </c>
    </row>
    <row r="40" spans="1:1" x14ac:dyDescent="0.25">
      <c r="A40" s="242" t="s">
        <v>604</v>
      </c>
    </row>
    <row r="41" spans="1:1" ht="22.5" x14ac:dyDescent="0.25">
      <c r="A41" s="241" t="s">
        <v>605</v>
      </c>
    </row>
    <row r="42" spans="1:1" ht="22.5" x14ac:dyDescent="0.25">
      <c r="A42" s="241" t="s">
        <v>606</v>
      </c>
    </row>
    <row r="43" spans="1:1" ht="22.5" x14ac:dyDescent="0.25">
      <c r="A43" s="241" t="s">
        <v>607</v>
      </c>
    </row>
    <row r="44" spans="1:1" x14ac:dyDescent="0.25">
      <c r="A44" s="241" t="s">
        <v>608</v>
      </c>
    </row>
    <row r="45" spans="1:1" x14ac:dyDescent="0.25">
      <c r="A45" s="241" t="s">
        <v>609</v>
      </c>
    </row>
    <row r="46" spans="1:1" x14ac:dyDescent="0.25">
      <c r="A46" s="241" t="s">
        <v>610</v>
      </c>
    </row>
    <row r="47" spans="1:1" ht="22.5" x14ac:dyDescent="0.25">
      <c r="A47" s="241" t="s">
        <v>611</v>
      </c>
    </row>
    <row r="48" spans="1:1" x14ac:dyDescent="0.25">
      <c r="A48" s="241" t="s">
        <v>612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19A7B-453C-4791-BD3B-471F1410A5C3}">
  <sheetPr>
    <tabColor theme="9" tint="-0.249977111117893"/>
  </sheetPr>
  <dimension ref="A1:AC63"/>
  <sheetViews>
    <sheetView topLeftCell="A4" zoomScale="85" zoomScaleNormal="85" workbookViewId="0">
      <selection activeCell="X21" sqref="X21"/>
    </sheetView>
  </sheetViews>
  <sheetFormatPr baseColWidth="10" defaultColWidth="10.85546875" defaultRowHeight="15" x14ac:dyDescent="0.25"/>
  <cols>
    <col min="1" max="1" width="25.85546875" style="79" customWidth="1"/>
    <col min="2" max="2" width="14.42578125" style="185" customWidth="1"/>
    <col min="3" max="6" width="12.140625" style="185" customWidth="1"/>
    <col min="7" max="7" width="3.85546875" style="79" customWidth="1"/>
    <col min="8" max="8" width="16.28515625" style="79" bestFit="1" customWidth="1"/>
    <col min="9" max="9" width="18.42578125" style="79" bestFit="1" customWidth="1"/>
    <col min="10" max="10" width="18.140625" style="79" bestFit="1" customWidth="1"/>
    <col min="11" max="11" width="4.28515625" style="79" customWidth="1"/>
    <col min="12" max="12" width="4.7109375" style="79" customWidth="1"/>
    <col min="13" max="13" width="10.85546875" style="79"/>
    <col min="14" max="18" width="18.85546875" style="79" customWidth="1"/>
    <col min="19" max="19" width="4.7109375" style="79" customWidth="1"/>
    <col min="20" max="20" width="18" style="79" bestFit="1" customWidth="1"/>
    <col min="21" max="21" width="18.140625" style="79" bestFit="1" customWidth="1"/>
    <col min="22" max="22" width="3.85546875" style="79" customWidth="1"/>
    <col min="23" max="23" width="4.7109375" style="79" customWidth="1"/>
    <col min="24" max="24" width="10.85546875" style="79"/>
    <col min="25" max="26" width="14.42578125" style="79" customWidth="1"/>
    <col min="27" max="27" width="16.42578125" style="79" customWidth="1"/>
    <col min="28" max="29" width="14.42578125" style="79" customWidth="1"/>
    <col min="30" max="16384" width="10.85546875" style="79"/>
  </cols>
  <sheetData>
    <row r="1" spans="1:29" ht="15" customHeight="1" x14ac:dyDescent="0.25">
      <c r="A1" s="82"/>
      <c r="B1" s="82"/>
      <c r="C1" s="82"/>
      <c r="D1" s="82"/>
      <c r="E1" s="82"/>
      <c r="F1" s="82"/>
      <c r="G1" s="82"/>
      <c r="H1" s="372" t="s">
        <v>613</v>
      </c>
      <c r="I1" s="372"/>
      <c r="J1" s="372"/>
      <c r="K1" s="180"/>
      <c r="L1" s="180"/>
      <c r="S1" s="375" t="s">
        <v>614</v>
      </c>
      <c r="T1" s="375"/>
      <c r="U1" s="375"/>
      <c r="V1" s="375"/>
      <c r="W1" s="180"/>
    </row>
    <row r="2" spans="1:29" ht="14.45" customHeight="1" x14ac:dyDescent="0.25">
      <c r="A2" s="373" t="s">
        <v>615</v>
      </c>
      <c r="B2" s="373"/>
      <c r="C2" s="373"/>
      <c r="D2" s="181" t="s">
        <v>616</v>
      </c>
      <c r="E2" s="82"/>
      <c r="F2" s="181" t="s">
        <v>616</v>
      </c>
      <c r="G2" s="182"/>
      <c r="H2" s="372"/>
      <c r="I2" s="372"/>
      <c r="J2" s="372"/>
      <c r="S2" s="375"/>
      <c r="T2" s="375"/>
      <c r="U2" s="375"/>
      <c r="V2" s="375"/>
    </row>
    <row r="3" spans="1:29" x14ac:dyDescent="0.25">
      <c r="A3" s="183"/>
      <c r="B3" s="82"/>
      <c r="C3" s="82"/>
      <c r="D3" s="82"/>
      <c r="E3" s="82"/>
      <c r="F3" s="82"/>
      <c r="G3" s="183"/>
      <c r="H3" s="206" t="s">
        <v>18</v>
      </c>
      <c r="I3" s="184" t="s">
        <v>617</v>
      </c>
      <c r="J3" s="185"/>
      <c r="T3" s="206" t="s">
        <v>20</v>
      </c>
      <c r="U3" s="184" t="s">
        <v>617</v>
      </c>
      <c r="V3" s="185"/>
    </row>
    <row r="4" spans="1:29" x14ac:dyDescent="0.25">
      <c r="A4" s="182"/>
      <c r="B4" s="182"/>
      <c r="C4" s="182"/>
      <c r="D4" s="182"/>
      <c r="E4" s="182"/>
      <c r="F4" s="182"/>
      <c r="G4" s="182"/>
      <c r="H4" s="182"/>
      <c r="T4" s="182"/>
    </row>
    <row r="5" spans="1:29" ht="30" x14ac:dyDescent="0.25">
      <c r="A5" s="202" t="s">
        <v>18</v>
      </c>
      <c r="B5" s="202" t="s">
        <v>20</v>
      </c>
      <c r="C5" s="202" t="s">
        <v>618</v>
      </c>
      <c r="D5" s="202" t="s">
        <v>619</v>
      </c>
      <c r="E5" s="202" t="s">
        <v>34</v>
      </c>
      <c r="F5" s="202" t="s">
        <v>41</v>
      </c>
      <c r="G5" s="182"/>
      <c r="H5" s="206" t="s">
        <v>20</v>
      </c>
      <c r="I5" s="184" t="s">
        <v>620</v>
      </c>
      <c r="J5" s="184" t="s">
        <v>621</v>
      </c>
      <c r="M5" s="374" t="str">
        <f>"Matriz de calor riesgo INHERENTE proceso: "&amp;I3</f>
        <v>Matriz de calor riesgo INHERENTE proceso: (Todas)</v>
      </c>
      <c r="N5" s="374"/>
      <c r="O5" s="374"/>
      <c r="P5" s="374"/>
      <c r="Q5" s="374"/>
      <c r="R5" s="374"/>
      <c r="T5" s="184" t="s">
        <v>622</v>
      </c>
      <c r="U5" s="184" t="s">
        <v>621</v>
      </c>
      <c r="V5"/>
      <c r="X5" s="354" t="str">
        <f>"Matriz de calor, comparación riesgo inherente y residual código: "&amp;U3</f>
        <v>Matriz de calor, comparación riesgo inherente y residual código: (Todas)</v>
      </c>
      <c r="Y5" s="354"/>
      <c r="Z5" s="354"/>
      <c r="AA5" s="354"/>
      <c r="AB5" s="354"/>
      <c r="AC5" s="354"/>
    </row>
    <row r="6" spans="1:29" ht="33" x14ac:dyDescent="0.25">
      <c r="A6" s="203" t="str">
        <f>R_S_Digital[[#This Row],[Proceso]]</f>
        <v>Adquisiciones</v>
      </c>
      <c r="B6" s="222" t="str">
        <f>R_S_Digital[[#This Row],[Código Riesgo]]</f>
        <v>ADQ-GC1</v>
      </c>
      <c r="C6" s="204" t="e">
        <f>#REF!</f>
        <v>#REF!</v>
      </c>
      <c r="D6" s="204" t="e">
        <f>#REF!</f>
        <v>#REF!</v>
      </c>
      <c r="E6" s="205" t="str">
        <f>R_S_Digital[[#This Row],[Severidad inherente]]</f>
        <v>ALTO</v>
      </c>
      <c r="F6" s="205" t="str">
        <f>R_S_Digital[[#This Row],[Severidad residual]]</f>
        <v>MODERADO</v>
      </c>
      <c r="G6" s="182"/>
      <c r="H6" s="186" t="s">
        <v>623</v>
      </c>
      <c r="I6" s="221">
        <v>7</v>
      </c>
      <c r="J6" s="221">
        <v>7</v>
      </c>
      <c r="L6" s="355" t="s">
        <v>380</v>
      </c>
      <c r="M6" s="187" t="s">
        <v>427</v>
      </c>
      <c r="N6" s="188" t="str">
        <f>IF($I$6=Condiciones_RSD!F48,"|"&amp;$H$6&amp;"| ","")&amp;IF($I$7=Condiciones_RSD!F48,"|"&amp;$H$7&amp;"| ","")&amp;IF($I$8=Condiciones_RSD!F48,"|"&amp;$H$8&amp;"| ","")&amp;IF($I$9=Condiciones_RSD!F48,"|"&amp;$H$9&amp;"| ","")&amp;IF($I$10=Condiciones_RSD!F48,"|"&amp;$H$10&amp;"| ","")&amp;IF($I$11=Condiciones_RSD!F48,"|"&amp;$H$11&amp;"| ","")&amp;IF($I$12=Condiciones_RSD!F48,"|"&amp;$H$12&amp;"| ","")&amp;IF($I$13=Condiciones_RSD!F48,"|"&amp;$H$13&amp;"| ","")&amp;IF($I$14=Condiciones_RSD!F48,"|"&amp;$H$14&amp;"| ","")&amp;IF($I$15=Condiciones_RSD!F48,"|"&amp;$H$15&amp;"| ","")&amp;IF($I$16=Condiciones_RSD!F48,"|"&amp;$H$16&amp;"| ","")&amp;IF($I$17=Condiciones_RSD!F48,"|"&amp;$H$17&amp;"| ","")&amp;IF($I$18=Condiciones_RSD!F48,"|"&amp;$H$18&amp;"| ","")&amp;IF($I$19=Condiciones_RSD!F48,"|"&amp;$H$19&amp;"| ","")&amp;IF($I$20=Condiciones_RSD!F48,"|"&amp;$H$20&amp;"| ","")&amp;IF($I$21=Condiciones_RSD!F48,"|"&amp;$H$21&amp;"| ","")&amp;IF($I$22=Condiciones_RSD!F48,"|"&amp;$H$22&amp;"| ","")&amp;IF($I$23=Condiciones_RSD!F48,"|"&amp;$H$23&amp;"| ","")&amp;IF($I$24=Condiciones_RSD!F48,"|"&amp;$H$24&amp;"| ","")&amp;IF($I$25=Condiciones_RSD!F48,"|"&amp;$H$25&amp;"|","")</f>
        <v/>
      </c>
      <c r="O6" s="188" t="str">
        <f>IF($I$6=Condiciones_RSD!G48,"|"&amp;$H$6&amp;"| ","")&amp;IF($I$7=Condiciones_RSD!G48,"|"&amp;$H$7&amp;"| ","")&amp;IF($I$8=Condiciones_RSD!G48,"|"&amp;$H$8&amp;"| ","")&amp;IF($I$9=Condiciones_RSD!G48,"|"&amp;$H$9&amp;"| ","")&amp;IF($I$10=Condiciones_RSD!G48,"|"&amp;$H$10&amp;"| ","")&amp;IF($I$11=Condiciones_RSD!G48,"|"&amp;$H$11&amp;"| ","")&amp;IF($I$12=Condiciones_RSD!G48,"|"&amp;$H$12&amp;"| ","")&amp;IF($I$13=Condiciones_RSD!G48,"|"&amp;$H$13&amp;"| ","")&amp;IF($I$14=Condiciones_RSD!G48,"|"&amp;$H$14&amp;"| ","")&amp;IF($I$15=Condiciones_RSD!G48,"|"&amp;$H$15&amp;"| ","")&amp;IF($I$16=Condiciones_RSD!G48,"|"&amp;$H$16&amp;"| ","")&amp;IF($I$17=Condiciones_RSD!G48,"|"&amp;$H$17&amp;"| ","")&amp;IF($I$18=Condiciones_RSD!G48,"|"&amp;$H$18&amp;"| ","")&amp;IF($I$19=Condiciones_RSD!G48,"|"&amp;$H$19&amp;"| ","")&amp;IF($I$20=Condiciones_RSD!G48,"|"&amp;$H$20&amp;"| ","")&amp;IF($I$21=Condiciones_RSD!G48,"|"&amp;$H$21&amp;"| ","")&amp;IF($I$22=Condiciones_RSD!G48,"|"&amp;$H$22&amp;"| ","")&amp;IF($I$23=Condiciones_RSD!G48,"|"&amp;$H$23&amp;"| ","")&amp;IF($I$24=Condiciones_RSD!G48,"|"&amp;$H$24&amp;"| ","")&amp;IF($I$25=Condiciones_RSD!G48,"|"&amp;$H$25&amp;"|","")</f>
        <v xml:space="preserve">|COM-SD11| </v>
      </c>
      <c r="P6" s="188" t="str">
        <f>IF($I$6=Condiciones_RSD!H48,"|"&amp;$H$6&amp;"| ","")&amp;IF($I$7=Condiciones_RSD!H48,"|"&amp;$H$7&amp;"| ","")&amp;IF($I$8=Condiciones_RSD!H48,"|"&amp;$H$8&amp;"| ","")&amp;IF($I$9=Condiciones_RSD!H48,"|"&amp;$H$9&amp;"| ","")&amp;IF($I$10=Condiciones_RSD!H48,"|"&amp;$H$10&amp;"| ","")&amp;IF($I$11=Condiciones_RSD!H48,"|"&amp;$H$11&amp;"| ","")&amp;IF($I$12=Condiciones_RSD!H48,"|"&amp;$H$12&amp;"| ","")&amp;IF($I$13=Condiciones_RSD!H48,"|"&amp;$H$13&amp;"| ","")&amp;IF($I$14=Condiciones_RSD!H48,"|"&amp;$H$14&amp;"| ","")&amp;IF($I$15=Condiciones_RSD!H48,"|"&amp;$H$15&amp;"| ","")&amp;IF($I$16=Condiciones_RSD!H48,"|"&amp;$H$16&amp;"| ","")&amp;IF($I$17=Condiciones_RSD!H48,"|"&amp;$H$17&amp;"| ","")&amp;IF($I$18=Condiciones_RSD!H48,"|"&amp;$H$18&amp;"| ","")&amp;IF($I$19=Condiciones_RSD!H48,"|"&amp;$H$19&amp;"| ","")&amp;IF($I$20=Condiciones_RSD!H48,"|"&amp;$H$20&amp;"| ","")&amp;IF($I$21=Condiciones_RSD!H48,"|"&amp;$H$21&amp;"| ","")&amp;IF($I$22=Condiciones_RSD!H48,"|"&amp;$H$22&amp;"| ","")&amp;IF($I$23=Condiciones_RSD!H48,"|"&amp;$H$23&amp;"| ","")&amp;IF($I$24=Condiciones_RSD!H48,"|"&amp;$H$24&amp;"| ","")&amp;IF($I$25=Condiciones_RSD!H48,"|"&amp;$H$25&amp;"|","")</f>
        <v xml:space="preserve">|ALI-SD2| </v>
      </c>
      <c r="Q6" s="188" t="str">
        <f>IF($I$6=Condiciones_RSD!I48,"|"&amp;$H$6&amp;"| ","")&amp;IF($I$7=Condiciones_RSD!I48,"|"&amp;$H$7&amp;"| ","")&amp;IF($I$8=Condiciones_RSD!I48,"|"&amp;$H$8&amp;"| ","")&amp;IF($I$9=Condiciones_RSD!I48,"|"&amp;$H$9&amp;"| ","")&amp;IF($I$10=Condiciones_RSD!I48,"|"&amp;$H$10&amp;"| ","")&amp;IF($I$11=Condiciones_RSD!I48,"|"&amp;$H$11&amp;"| ","")&amp;IF($I$12=Condiciones_RSD!I48,"|"&amp;$H$12&amp;"| ","")&amp;IF($I$13=Condiciones_RSD!I48,"|"&amp;$H$13&amp;"| ","")&amp;IF($I$14=Condiciones_RSD!I48,"|"&amp;$H$14&amp;"| ","")&amp;IF($I$15=Condiciones_RSD!I48,"|"&amp;$H$15&amp;"| ","")&amp;IF($I$16=Condiciones_RSD!I48,"|"&amp;$H$16&amp;"| ","")&amp;IF($I$17=Condiciones_RSD!I48,"|"&amp;$H$17&amp;"| ","")&amp;IF($I$18=Condiciones_RSD!I48,"|"&amp;$H$18&amp;"| ","")&amp;IF($I$19=Condiciones_RSD!I48,"|"&amp;$H$19&amp;"| ","")&amp;IF($I$20=Condiciones_RSD!I48,"|"&amp;$H$20&amp;"| ","")&amp;IF($I$21=Condiciones_RSD!I48,"|"&amp;$H$21&amp;"| ","")&amp;IF($I$22=Condiciones_RSD!I48,"|"&amp;$H$22&amp;"| ","")&amp;IF($I$23=Condiciones_RSD!I48,"|"&amp;$H$23&amp;"| ","")&amp;IF($I$24=Condiciones_RSD!I48,"|"&amp;$H$24&amp;"| ","")&amp;IF($I$25=Condiciones_RSD!I48,"|"&amp;$H$25&amp;"|","")</f>
        <v xml:space="preserve">|COM-SD12| |COM-SD13| |COM-SD14| </v>
      </c>
      <c r="R6" s="189" t="str">
        <f>IF($I$6=Condiciones_RSD!J48,"|"&amp;$H$6&amp;"| ","")&amp;IF($I$7=Condiciones_RSD!J48,"|"&amp;$H$7&amp;"| ","")&amp;IF($I$8=Condiciones_RSD!J48,"|"&amp;$H$8&amp;"| ","")&amp;IF($I$9=Condiciones_RSD!J48,"|"&amp;$H$9&amp;"| ","")&amp;IF($I$10=Condiciones_RSD!J48,"|"&amp;$H$10&amp;"| ","")&amp;IF($I$11=Condiciones_RSD!J48,"|"&amp;$H$11&amp;"| ","")&amp;IF($I$12=Condiciones_RSD!J48,"|"&amp;$H$12&amp;"| ","")&amp;IF($I$13=Condiciones_RSD!J48,"|"&amp;$H$13&amp;"| ","")&amp;IF($I$14=Condiciones_RSD!J48,"|"&amp;$H$14&amp;"| ","")&amp;IF($I$15=Condiciones_RSD!J48,"|"&amp;$H$15&amp;"| ","")&amp;IF($I$16=Condiciones_RSD!J48,"|"&amp;$H$16&amp;"| ","")&amp;IF($I$17=Condiciones_RSD!J48,"|"&amp;$H$17&amp;"| ","")&amp;IF($I$18=Condiciones_RSD!J48,"|"&amp;$H$18&amp;"| ","")&amp;IF($I$19=Condiciones_RSD!J48,"|"&amp;$H$19&amp;"| ","")&amp;IF($I$20=Condiciones_RSD!J48,"|"&amp;$H$20&amp;"| ","")&amp;IF($I$21=Condiciones_RSD!J48,"|"&amp;$H$21&amp;"| ","")&amp;IF($I$22=Condiciones_RSD!J48,"|"&amp;$H$22&amp;"| ","")&amp;IF($I$23=Condiciones_RSD!J48,"|"&amp;$H$23&amp;"| ","")&amp;IF($I$24=Condiciones_RSD!J48,"|"&amp;$H$24&amp;"| ","")&amp;IF($I$25=Condiciones_RSD!J48,"|"&amp;$H$25&amp;"|","")</f>
        <v>|COM-SD10| |COM-SD2|</v>
      </c>
      <c r="T6" s="221">
        <v>838</v>
      </c>
      <c r="U6" s="221">
        <v>787</v>
      </c>
      <c r="V6"/>
      <c r="W6" s="355" t="s">
        <v>380</v>
      </c>
      <c r="X6" s="187" t="s">
        <v>427</v>
      </c>
      <c r="Y6" s="190" t="str">
        <f>IF($T$6=Condiciones_RSD!F48,"|"&amp;$U$3&amp;"i| ","")&amp;IF($U$6=Condiciones_RSD!F48,"|"&amp;$U$3&amp;"r| ","")</f>
        <v/>
      </c>
      <c r="Z6" s="190" t="str">
        <f>IF($T$6=Condiciones_RSD!G48,"|"&amp;$U$3&amp;"i| ","")&amp;IF($U$6=Condiciones_RSD!G48,"|"&amp;$U$3&amp;"r| ","")</f>
        <v/>
      </c>
      <c r="AA6" s="190" t="str">
        <f>IF($T$6=Condiciones_RSD!H48,"|"&amp;$U$3&amp;"i| ","")&amp;IF($U$6=Condiciones_RSD!H48,"|"&amp;$U$3&amp;"r| ","")</f>
        <v/>
      </c>
      <c r="AB6" s="190" t="str">
        <f>IF($T$6=Condiciones_RSD!I48,"|"&amp;$U$3&amp;"i| ","")&amp;IF($U$6=Condiciones_RSD!I48,"|"&amp;$U$3&amp;"r| ","")</f>
        <v/>
      </c>
      <c r="AC6" s="191" t="str">
        <f>IF($T$6=Condiciones_RSD!J48,"|"&amp;$U$3&amp;"i| ","")&amp;IF($U$6=Condiciones_RSD!J48,"|"&amp;$U$3&amp;"r| ","")</f>
        <v/>
      </c>
    </row>
    <row r="7" spans="1:29" ht="45" x14ac:dyDescent="0.25">
      <c r="A7" s="203" t="str">
        <f>R_S_Digital[[#This Row],[Proceso]]</f>
        <v>Apropiación social del conocimiento y del patrimonio</v>
      </c>
      <c r="B7" s="222" t="str">
        <f>R_S_Digital[[#This Row],[Código Riesgo]]</f>
        <v>ASCP-MUS1</v>
      </c>
      <c r="C7" s="204" t="e">
        <f>#REF!</f>
        <v>#REF!</v>
      </c>
      <c r="D7" s="204" t="e">
        <f>#REF!</f>
        <v>#REF!</v>
      </c>
      <c r="E7" s="205" t="str">
        <f>R_S_Digital[[#This Row],[Severidad inherente]]</f>
        <v>ALTO</v>
      </c>
      <c r="F7" s="205" t="str">
        <f>R_S_Digital[[#This Row],[Severidad residual]]</f>
        <v>ALTO</v>
      </c>
      <c r="G7" s="182"/>
      <c r="H7" s="186" t="s">
        <v>624</v>
      </c>
      <c r="I7" s="221">
        <v>6</v>
      </c>
      <c r="J7" s="221">
        <v>6</v>
      </c>
      <c r="L7" s="355"/>
      <c r="M7" s="103" t="s">
        <v>430</v>
      </c>
      <c r="N7" s="192" t="str">
        <f>IF($I$6=Condiciones_RSD!F49,"|"&amp;$H$6&amp;"| ","")&amp;IF($I$7=Condiciones_RSD!F49,"|"&amp;$H$7&amp;"| ","")&amp;IF($I$8=Condiciones_RSD!F49,"|"&amp;$H$8&amp;"| ","")&amp;IF($I$9=Condiciones_RSD!F49,"|"&amp;$H$9&amp;"| ","")&amp;IF($I$10=Condiciones_RSD!F49,"|"&amp;$H$10&amp;"| ","")&amp;IF($I$11=Condiciones_RSD!F49,"|"&amp;$H$11&amp;"| ","")&amp;IF($I$12=Condiciones_RSD!F49,"|"&amp;$H$12&amp;"| ","")&amp;IF($I$13=Condiciones_RSD!F49,"|"&amp;$H$13&amp;"| ","")&amp;IF($I$14=Condiciones_RSD!F49,"|"&amp;$H$14&amp;"| ","")&amp;IF($I$15=Condiciones_RSD!F49,"|"&amp;$H$15&amp;"| ","")&amp;IF($I$16=Condiciones_RSD!F49,"|"&amp;$H$16&amp;"| ","")&amp;IF($I$17=Condiciones_RSD!F49,"|"&amp;$H$17&amp;"| ","")&amp;IF($I$18=Condiciones_RSD!F49,"|"&amp;$H$18&amp;"| ","")&amp;IF($I$19=Condiciones_RSD!F49,"|"&amp;$H$19&amp;"| ","")&amp;IF($I$20=Condiciones_RSD!F49,"|"&amp;$H$20&amp;"| ","")&amp;IF($I$21=Condiciones_RSD!F49,"|"&amp;$H$21&amp;"| ","")&amp;IF($I$22=Condiciones_RSD!F49,"|"&amp;$H$22&amp;"| ","")&amp;IF($I$23=Condiciones_RSD!F49,"|"&amp;$H$23&amp;"| ","")&amp;IF($I$24=Condiciones_RSD!F49,"|"&amp;$H$24&amp;"| ","")&amp;IF($I$25=Condiciones_RSD!F49,"|"&amp;$H$25&amp;"|","")</f>
        <v xml:space="preserve">|ADM-SD1| </v>
      </c>
      <c r="O7" s="192" t="str">
        <f>IF($I$6=Condiciones_RSD!G49,"|"&amp;$H$6&amp;"| ","")&amp;IF($I$7=Condiciones_RSD!G49,"|"&amp;$H$7&amp;"| ","")&amp;IF($I$8=Condiciones_RSD!G49,"|"&amp;$H$8&amp;"| ","")&amp;IF($I$9=Condiciones_RSD!G49,"|"&amp;$H$9&amp;"| ","")&amp;IF($I$10=Condiciones_RSD!G49,"|"&amp;$H$10&amp;"| ","")&amp;IF($I$11=Condiciones_RSD!G49,"|"&amp;$H$11&amp;"| ","")&amp;IF($I$12=Condiciones_RSD!G49,"|"&amp;$H$12&amp;"| ","")&amp;IF($I$13=Condiciones_RSD!G49,"|"&amp;$H$13&amp;"| ","")&amp;IF($I$14=Condiciones_RSD!G49,"|"&amp;$H$14&amp;"| ","")&amp;IF($I$15=Condiciones_RSD!G49,"|"&amp;$H$15&amp;"| ","")&amp;IF($I$16=Condiciones_RSD!G49,"|"&amp;$H$16&amp;"| ","")&amp;IF($I$17=Condiciones_RSD!G49,"|"&amp;$H$17&amp;"| ","")&amp;IF($I$18=Condiciones_RSD!G49,"|"&amp;$H$18&amp;"| ","")&amp;IF($I$19=Condiciones_RSD!G49,"|"&amp;$H$19&amp;"| ","")&amp;IF($I$20=Condiciones_RSD!G49,"|"&amp;$H$20&amp;"| ","")&amp;IF($I$21=Condiciones_RSD!G49,"|"&amp;$H$21&amp;"| ","")&amp;IF($I$22=Condiciones_RSD!G49,"|"&amp;$H$22&amp;"| ","")&amp;IF($I$23=Condiciones_RSD!G49,"|"&amp;$H$23&amp;"| ","")&amp;IF($I$24=Condiciones_RSD!G49,"|"&amp;$H$24&amp;"| ","")&amp;IF($I$25=Condiciones_RSD!G49,"|"&amp;$H$25&amp;"|","")</f>
        <v/>
      </c>
      <c r="P7" s="188" t="str">
        <f>IF($I$6=Condiciones_RSD!H49,"|"&amp;$H$6&amp;"| ","")&amp;IF($I$7=Condiciones_RSD!H49,"|"&amp;$H$7&amp;"| ","")&amp;IF($I$8=Condiciones_RSD!H49,"|"&amp;$H$8&amp;"| ","")&amp;IF($I$9=Condiciones_RSD!H49,"|"&amp;$H$9&amp;"| ","")&amp;IF($I$10=Condiciones_RSD!H49,"|"&amp;$H$10&amp;"| ","")&amp;IF($I$11=Condiciones_RSD!H49,"|"&amp;$H$11&amp;"| ","")&amp;IF($I$12=Condiciones_RSD!H49,"|"&amp;$H$12&amp;"| ","")&amp;IF($I$13=Condiciones_RSD!H49,"|"&amp;$H$13&amp;"| ","")&amp;IF($I$14=Condiciones_RSD!H49,"|"&amp;$H$14&amp;"| ","")&amp;IF($I$15=Condiciones_RSD!H49,"|"&amp;$H$15&amp;"| ","")&amp;IF($I$16=Condiciones_RSD!H49,"|"&amp;$H$16&amp;"| ","")&amp;IF($I$17=Condiciones_RSD!H49,"|"&amp;$H$17&amp;"| ","")&amp;IF($I$18=Condiciones_RSD!H49,"|"&amp;$H$18&amp;"| ","")&amp;IF($I$19=Condiciones_RSD!H49,"|"&amp;$H$19&amp;"| ","")&amp;IF($I$20=Condiciones_RSD!H49,"|"&amp;$H$20&amp;"| ","")&amp;IF($I$21=Condiciones_RSD!H49,"|"&amp;$H$21&amp;"| ","")&amp;IF($I$22=Condiciones_RSD!H49,"|"&amp;$H$22&amp;"| ","")&amp;IF($I$23=Condiciones_RSD!H49,"|"&amp;$H$23&amp;"| ","")&amp;IF($I$24=Condiciones_RSD!H49,"|"&amp;$H$24&amp;"| ","")&amp;IF($I$25=Condiciones_RSD!H49,"|"&amp;$H$25&amp;"|","")</f>
        <v xml:space="preserve">|APR-SD7| </v>
      </c>
      <c r="Q7" s="188" t="str">
        <f>IF($I$6=Condiciones_RSD!I49,"|"&amp;$H$6&amp;"| ","")&amp;IF($I$7=Condiciones_RSD!I49,"|"&amp;$H$7&amp;"| ","")&amp;IF($I$8=Condiciones_RSD!I49,"|"&amp;$H$8&amp;"| ","")&amp;IF($I$9=Condiciones_RSD!I49,"|"&amp;$H$9&amp;"| ","")&amp;IF($I$10=Condiciones_RSD!I49,"|"&amp;$H$10&amp;"| ","")&amp;IF($I$11=Condiciones_RSD!I49,"|"&amp;$H$11&amp;"| ","")&amp;IF($I$12=Condiciones_RSD!I49,"|"&amp;$H$12&amp;"| ","")&amp;IF($I$13=Condiciones_RSD!I49,"|"&amp;$H$13&amp;"| ","")&amp;IF($I$14=Condiciones_RSD!I49,"|"&amp;$H$14&amp;"| ","")&amp;IF($I$15=Condiciones_RSD!I49,"|"&amp;$H$15&amp;"| ","")&amp;IF($I$16=Condiciones_RSD!I49,"|"&amp;$H$16&amp;"| ","")&amp;IF($I$17=Condiciones_RSD!I49,"|"&amp;$H$17&amp;"| ","")&amp;IF($I$18=Condiciones_RSD!I49,"|"&amp;$H$18&amp;"| ","")&amp;IF($I$19=Condiciones_RSD!I49,"|"&amp;$H$19&amp;"| ","")&amp;IF($I$20=Condiciones_RSD!I49,"|"&amp;$H$20&amp;"| ","")&amp;IF($I$21=Condiciones_RSD!I49,"|"&amp;$H$21&amp;"| ","")&amp;IF($I$22=Condiciones_RSD!I49,"|"&amp;$H$22&amp;"| ","")&amp;IF($I$23=Condiciones_RSD!I49,"|"&amp;$H$23&amp;"| ","")&amp;IF($I$24=Condiciones_RSD!I49,"|"&amp;$H$24&amp;"| ","")&amp;IF($I$25=Condiciones_RSD!I49,"|"&amp;$H$25&amp;"|","")</f>
        <v xml:space="preserve">|APR-SD6| </v>
      </c>
      <c r="R7" s="189" t="str">
        <f>IF($I$6=Condiciones_RSD!J49,"|"&amp;$H$6&amp;"| ","")&amp;IF($I$7=Condiciones_RSD!J49,"|"&amp;$H$7&amp;"| ","")&amp;IF($I$8=Condiciones_RSD!J49,"|"&amp;$H$8&amp;"| ","")&amp;IF($I$9=Condiciones_RSD!J49,"|"&amp;$H$9&amp;"| ","")&amp;IF($I$10=Condiciones_RSD!J49,"|"&amp;$H$10&amp;"| ","")&amp;IF($I$11=Condiciones_RSD!J49,"|"&amp;$H$11&amp;"| ","")&amp;IF($I$12=Condiciones_RSD!J49,"|"&amp;$H$12&amp;"| ","")&amp;IF($I$13=Condiciones_RSD!J49,"|"&amp;$H$13&amp;"| ","")&amp;IF($I$14=Condiciones_RSD!J49,"|"&amp;$H$14&amp;"| ","")&amp;IF($I$15=Condiciones_RSD!J49,"|"&amp;$H$15&amp;"| ","")&amp;IF($I$16=Condiciones_RSD!J49,"|"&amp;$H$16&amp;"| ","")&amp;IF($I$17=Condiciones_RSD!J49,"|"&amp;$H$17&amp;"| ","")&amp;IF($I$18=Condiciones_RSD!J49,"|"&amp;$H$18&amp;"| ","")&amp;IF($I$19=Condiciones_RSD!J49,"|"&amp;$H$19&amp;"| ","")&amp;IF($I$20=Condiciones_RSD!J49,"|"&amp;$H$20&amp;"| ","")&amp;IF($I$21=Condiciones_RSD!J49,"|"&amp;$H$21&amp;"| ","")&amp;IF($I$22=Condiciones_RSD!J49,"|"&amp;$H$22&amp;"| ","")&amp;IF($I$23=Condiciones_RSD!J49,"|"&amp;$H$23&amp;"| ","")&amp;IF($I$24=Condiciones_RSD!J49,"|"&amp;$H$24&amp;"| ","")&amp;IF($I$25=Condiciones_RSD!J49,"|"&amp;$H$25&amp;"|","")</f>
        <v xml:space="preserve">|COM-SD1| |COM-SD15| </v>
      </c>
      <c r="T7"/>
      <c r="U7"/>
      <c r="V7"/>
      <c r="W7" s="355"/>
      <c r="X7" s="103" t="s">
        <v>430</v>
      </c>
      <c r="Y7" s="193" t="str">
        <f>IF($T$6=Condiciones_RSD!F49,"|"&amp;$U$3&amp;"i| ","")&amp;IF($U$6=Condiciones_RSD!F49,"|"&amp;$U$3&amp;"r| ","")</f>
        <v/>
      </c>
      <c r="Z7" s="193" t="str">
        <f>IF($T$6=Condiciones_RSD!G49,"|"&amp;$U$3&amp;"i| ","")&amp;IF($U$6=Condiciones_RSD!G49,"|"&amp;$U$3&amp;"r| ","")</f>
        <v/>
      </c>
      <c r="AA7" s="190" t="str">
        <f>IF($T$6=Condiciones_RSD!H49,"|"&amp;$U$3&amp;"i| ","")&amp;IF($U$6=Condiciones_RSD!H49,"|"&amp;$U$3&amp;"r| ","")</f>
        <v/>
      </c>
      <c r="AB7" s="190" t="str">
        <f>IF($T$6=Condiciones_RSD!I49,"|"&amp;$U$3&amp;"i| ","")&amp;IF($U$6=Condiciones_RSD!I49,"|"&amp;$U$3&amp;"r| ","")</f>
        <v/>
      </c>
      <c r="AC7" s="191" t="str">
        <f>IF($T$6=Condiciones_RSD!J49,"|"&amp;$U$3&amp;"i| ","")&amp;IF($U$6=Condiciones_RSD!J49,"|"&amp;$U$3&amp;"r| ","")</f>
        <v/>
      </c>
    </row>
    <row r="8" spans="1:29" ht="45" x14ac:dyDescent="0.25">
      <c r="A8" s="203" t="str">
        <f>R_S_Digital[[#This Row],[Proceso]]</f>
        <v>Apropiación social del conocimiento y del patrimonio</v>
      </c>
      <c r="B8" s="222" t="str">
        <f>R_S_Digital[[#This Row],[Código Riesgo]]</f>
        <v>ASCP-SE1</v>
      </c>
      <c r="C8" s="204" t="e">
        <f>#REF!</f>
        <v>#REF!</v>
      </c>
      <c r="D8" s="204" t="e">
        <f>#REF!</f>
        <v>#REF!</v>
      </c>
      <c r="E8" s="205" t="str">
        <f>R_S_Digital[[#This Row],[Severidad inherente]]</f>
        <v>ALTO</v>
      </c>
      <c r="F8" s="205" t="str">
        <f>R_S_Digital[[#This Row],[Severidad residual]]</f>
        <v>MODERADO</v>
      </c>
      <c r="G8" s="182"/>
      <c r="H8" s="186" t="s">
        <v>625</v>
      </c>
      <c r="I8" s="221">
        <v>5</v>
      </c>
      <c r="J8" s="221">
        <v>5</v>
      </c>
      <c r="L8" s="355"/>
      <c r="M8" s="115" t="s">
        <v>435</v>
      </c>
      <c r="N8" s="192" t="str">
        <f>IF($I$6=Condiciones_RSD!F50,"|"&amp;$H$6&amp;"| ","")&amp;IF($I$7=Condiciones_RSD!F50,"|"&amp;$H$7&amp;"| ","")&amp;IF($I$8=Condiciones_RSD!F50,"|"&amp;$H$8&amp;"| ","")&amp;IF($I$9=Condiciones_RSD!F50,"|"&amp;$H$9&amp;"| ","")&amp;IF($I$10=Condiciones_RSD!F50,"|"&amp;$H$10&amp;"| ","")&amp;IF($I$11=Condiciones_RSD!F50,"|"&amp;$H$11&amp;"| ","")&amp;IF($I$12=Condiciones_RSD!F50,"|"&amp;$H$12&amp;"| ","")&amp;IF($I$13=Condiciones_RSD!F50,"|"&amp;$H$13&amp;"| ","")&amp;IF($I$14=Condiciones_RSD!F50,"|"&amp;$H$14&amp;"| ","")&amp;IF($I$15=Condiciones_RSD!F50,"|"&amp;$H$15&amp;"| ","")&amp;IF($I$16=Condiciones_RSD!F50,"|"&amp;$H$16&amp;"| ","")&amp;IF($I$17=Condiciones_RSD!F50,"|"&amp;$H$17&amp;"| ","")&amp;IF($I$18=Condiciones_RSD!F50,"|"&amp;$H$18&amp;"| ","")&amp;IF($I$19=Condiciones_RSD!F50,"|"&amp;$H$19&amp;"| ","")&amp;IF($I$20=Condiciones_RSD!F50,"|"&amp;$H$20&amp;"| ","")&amp;IF($I$21=Condiciones_RSD!F50,"|"&amp;$H$21&amp;"| ","")&amp;IF($I$22=Condiciones_RSD!F50,"|"&amp;$H$22&amp;"| ","")&amp;IF($I$23=Condiciones_RSD!F50,"|"&amp;$H$23&amp;"| ","")&amp;IF($I$24=Condiciones_RSD!F50,"|"&amp;$H$24&amp;"| ","")&amp;IF($I$25=Condiciones_RSD!F50,"|"&amp;$H$25&amp;"|","")</f>
        <v/>
      </c>
      <c r="O8" s="192" t="str">
        <f>IF($I$6=Condiciones_RSD!G50,"|"&amp;$H$6&amp;"| ","")&amp;IF($I$7=Condiciones_RSD!G50,"|"&amp;$H$7&amp;"| ","")&amp;IF($I$8=Condiciones_RSD!G50,"|"&amp;$H$8&amp;"| ","")&amp;IF($I$9=Condiciones_RSD!G50,"|"&amp;$H$9&amp;"| ","")&amp;IF($I$10=Condiciones_RSD!G50,"|"&amp;$H$10&amp;"| ","")&amp;IF($I$11=Condiciones_RSD!G50,"|"&amp;$H$11&amp;"| ","")&amp;IF($I$12=Condiciones_RSD!G50,"|"&amp;$H$12&amp;"| ","")&amp;IF($I$13=Condiciones_RSD!G50,"|"&amp;$H$13&amp;"| ","")&amp;IF($I$14=Condiciones_RSD!G50,"|"&amp;$H$14&amp;"| ","")&amp;IF($I$15=Condiciones_RSD!G50,"|"&amp;$H$15&amp;"| ","")&amp;IF($I$16=Condiciones_RSD!G50,"|"&amp;$H$16&amp;"| ","")&amp;IF($I$17=Condiciones_RSD!G50,"|"&amp;$H$17&amp;"| ","")&amp;IF($I$18=Condiciones_RSD!G50,"|"&amp;$H$18&amp;"| ","")&amp;IF($I$19=Condiciones_RSD!G50,"|"&amp;$H$19&amp;"| ","")&amp;IF($I$20=Condiciones_RSD!G50,"|"&amp;$H$20&amp;"| ","")&amp;IF($I$21=Condiciones_RSD!G50,"|"&amp;$H$21&amp;"| ","")&amp;IF($I$22=Condiciones_RSD!G50,"|"&amp;$H$22&amp;"| ","")&amp;IF($I$23=Condiciones_RSD!G50,"|"&amp;$H$23&amp;"| ","")&amp;IF($I$24=Condiciones_RSD!G50,"|"&amp;$H$24&amp;"| ","")&amp;IF($I$25=Condiciones_RSD!G50,"|"&amp;$H$25&amp;"|","")</f>
        <v xml:space="preserve">|ADQ-SD-1| </v>
      </c>
      <c r="P8" s="192" t="str">
        <f>IF($I$6=Condiciones_RSD!H50,"|"&amp;$H$6&amp;"| ","")&amp;IF($I$7=Condiciones_RSD!H50,"|"&amp;$H$7&amp;"| ","")&amp;IF($I$8=Condiciones_RSD!H50,"|"&amp;$H$8&amp;"| ","")&amp;IF($I$9=Condiciones_RSD!H50,"|"&amp;$H$9&amp;"| ","")&amp;IF($I$10=Condiciones_RSD!H50,"|"&amp;$H$10&amp;"| ","")&amp;IF($I$11=Condiciones_RSD!H50,"|"&amp;$H$11&amp;"| ","")&amp;IF($I$12=Condiciones_RSD!H50,"|"&amp;$H$12&amp;"| ","")&amp;IF($I$13=Condiciones_RSD!H50,"|"&amp;$H$13&amp;"| ","")&amp;IF($I$14=Condiciones_RSD!H50,"|"&amp;$H$14&amp;"| ","")&amp;IF($I$15=Condiciones_RSD!H50,"|"&amp;$H$15&amp;"| ","")&amp;IF($I$16=Condiciones_RSD!H50,"|"&amp;$H$16&amp;"| ","")&amp;IF($I$17=Condiciones_RSD!H50,"|"&amp;$H$17&amp;"| ","")&amp;IF($I$18=Condiciones_RSD!H50,"|"&amp;$H$18&amp;"| ","")&amp;IF($I$19=Condiciones_RSD!H50,"|"&amp;$H$19&amp;"| ","")&amp;IF($I$20=Condiciones_RSD!H50,"|"&amp;$H$20&amp;"| ","")&amp;IF($I$21=Condiciones_RSD!H50,"|"&amp;$H$21&amp;"| ","")&amp;IF($I$22=Condiciones_RSD!H50,"|"&amp;$H$22&amp;"| ","")&amp;IF($I$23=Condiciones_RSD!H50,"|"&amp;$H$23&amp;"| ","")&amp;IF($I$24=Condiciones_RSD!H50,"|"&amp;$H$24&amp;"| ","")&amp;IF($I$25=Condiciones_RSD!H50,"|"&amp;$H$25&amp;"|","")</f>
        <v/>
      </c>
      <c r="Q8" s="188" t="str">
        <f>IF($I$6=Condiciones_RSD!I50,"|"&amp;$H$6&amp;"| ","")&amp;IF($I$7=Condiciones_RSD!I50,"|"&amp;$H$7&amp;"| ","")&amp;IF($I$8=Condiciones_RSD!I50,"|"&amp;$H$8&amp;"| ","")&amp;IF($I$9=Condiciones_RSD!I50,"|"&amp;$H$9&amp;"| ","")&amp;IF($I$10=Condiciones_RSD!I50,"|"&amp;$H$10&amp;"| ","")&amp;IF($I$11=Condiciones_RSD!I50,"|"&amp;$H$11&amp;"| ","")&amp;IF($I$12=Condiciones_RSD!I50,"|"&amp;$H$12&amp;"| ","")&amp;IF($I$13=Condiciones_RSD!I50,"|"&amp;$H$13&amp;"| ","")&amp;IF($I$14=Condiciones_RSD!I50,"|"&amp;$H$14&amp;"| ","")&amp;IF($I$15=Condiciones_RSD!I50,"|"&amp;$H$15&amp;"| ","")&amp;IF($I$16=Condiciones_RSD!I50,"|"&amp;$H$16&amp;"| ","")&amp;IF($I$17=Condiciones_RSD!I50,"|"&amp;$H$17&amp;"| ","")&amp;IF($I$18=Condiciones_RSD!I50,"|"&amp;$H$18&amp;"| ","")&amp;IF($I$19=Condiciones_RSD!I50,"|"&amp;$H$19&amp;"| ","")&amp;IF($I$20=Condiciones_RSD!I50,"|"&amp;$H$20&amp;"| ","")&amp;IF($I$21=Condiciones_RSD!I50,"|"&amp;$H$21&amp;"| ","")&amp;IF($I$22=Condiciones_RSD!I50,"|"&amp;$H$22&amp;"| ","")&amp;IF($I$23=Condiciones_RSD!I50,"|"&amp;$H$23&amp;"| ","")&amp;IF($I$24=Condiciones_RSD!I50,"|"&amp;$H$24&amp;"| ","")&amp;IF($I$25=Condiciones_RSD!I50,"|"&amp;$H$25&amp;"|","")</f>
        <v/>
      </c>
      <c r="R8" s="189" t="str">
        <f>IF($I$6=Condiciones_RSD!J50,"|"&amp;$H$6&amp;"| ","")&amp;IF($I$7=Condiciones_RSD!J50,"|"&amp;$H$7&amp;"| ","")&amp;IF($I$8=Condiciones_RSD!J50,"|"&amp;$H$8&amp;"| ","")&amp;IF($I$9=Condiciones_RSD!J50,"|"&amp;$H$9&amp;"| ","")&amp;IF($I$10=Condiciones_RSD!J50,"|"&amp;$H$10&amp;"| ","")&amp;IF($I$11=Condiciones_RSD!J50,"|"&amp;$H$11&amp;"| ","")&amp;IF($I$12=Condiciones_RSD!J50,"|"&amp;$H$12&amp;"| ","")&amp;IF($I$13=Condiciones_RSD!J50,"|"&amp;$H$13&amp;"| ","")&amp;IF($I$14=Condiciones_RSD!J50,"|"&amp;$H$14&amp;"| ","")&amp;IF($I$15=Condiciones_RSD!J50,"|"&amp;$H$15&amp;"| ","")&amp;IF($I$16=Condiciones_RSD!J50,"|"&amp;$H$16&amp;"| ","")&amp;IF($I$17=Condiciones_RSD!J50,"|"&amp;$H$17&amp;"| ","")&amp;IF($I$18=Condiciones_RSD!J50,"|"&amp;$H$18&amp;"| ","")&amp;IF($I$19=Condiciones_RSD!J50,"|"&amp;$H$19&amp;"| ","")&amp;IF($I$20=Condiciones_RSD!J50,"|"&amp;$H$20&amp;"| ","")&amp;IF($I$21=Condiciones_RSD!J50,"|"&amp;$H$21&amp;"| ","")&amp;IF($I$22=Condiciones_RSD!J50,"|"&amp;$H$22&amp;"| ","")&amp;IF($I$23=Condiciones_RSD!J50,"|"&amp;$H$23&amp;"| ","")&amp;IF($I$24=Condiciones_RSD!J50,"|"&amp;$H$24&amp;"| ","")&amp;IF($I$25=Condiciones_RSD!J50,"|"&amp;$H$25&amp;"|","")</f>
        <v/>
      </c>
      <c r="T8"/>
      <c r="U8"/>
      <c r="V8"/>
      <c r="W8" s="355"/>
      <c r="X8" s="115" t="s">
        <v>435</v>
      </c>
      <c r="Y8" s="193" t="str">
        <f>IF($T$6=Condiciones_RSD!F50,"|"&amp;$U$3&amp;"i| ","")&amp;IF($U$6=Condiciones_RSD!F50,"|"&amp;$U$3&amp;"r| ","")</f>
        <v/>
      </c>
      <c r="Z8" s="193" t="str">
        <f>IF($T$6=Condiciones_RSD!G50,"|"&amp;$U$3&amp;"i| ","")&amp;IF($U$6=Condiciones_RSD!G50,"|"&amp;$U$3&amp;"r| ","")</f>
        <v/>
      </c>
      <c r="AA8" s="193" t="str">
        <f>IF($T$6=Condiciones_RSD!H50,"|"&amp;$U$3&amp;"i| ","")&amp;IF($U$6=Condiciones_RSD!H50,"|"&amp;$U$3&amp;"r| ","")</f>
        <v/>
      </c>
      <c r="AB8" s="190" t="str">
        <f>IF($T$6=Condiciones_RSD!I50,"|"&amp;$U$3&amp;"i| ","")&amp;IF($U$6=Condiciones_RSD!I50,"|"&amp;$U$3&amp;"r| ","")</f>
        <v/>
      </c>
      <c r="AC8" s="191" t="str">
        <f>IF($T$6=Condiciones_RSD!J50,"|"&amp;$U$3&amp;"i| ","")&amp;IF($U$6=Condiciones_RSD!J50,"|"&amp;$U$3&amp;"r| ","")</f>
        <v/>
      </c>
    </row>
    <row r="9" spans="1:29" ht="45" x14ac:dyDescent="0.25">
      <c r="A9" s="203" t="str">
        <f>R_S_Digital[[#This Row],[Proceso]]</f>
        <v>Apropiación social del conocimiento y del patrimonio</v>
      </c>
      <c r="B9" s="222" t="str">
        <f>R_S_Digital[[#This Row],[Código Riesgo]]</f>
        <v>ASCP-SE2</v>
      </c>
      <c r="C9" s="204" t="e">
        <f>#REF!</f>
        <v>#REF!</v>
      </c>
      <c r="D9" s="204" t="e">
        <f>#REF!</f>
        <v>#REF!</v>
      </c>
      <c r="E9" s="205" t="str">
        <f>R_S_Digital[[#This Row],[Severidad inherente]]</f>
        <v>MODERADO</v>
      </c>
      <c r="F9" s="205" t="str">
        <f>R_S_Digital[[#This Row],[Severidad residual]]</f>
        <v>EXTREMO</v>
      </c>
      <c r="G9" s="182"/>
      <c r="H9" s="186" t="s">
        <v>626</v>
      </c>
      <c r="I9" s="221">
        <v>18</v>
      </c>
      <c r="J9" s="221">
        <v>18</v>
      </c>
      <c r="L9" s="355"/>
      <c r="M9" s="194" t="s">
        <v>437</v>
      </c>
      <c r="N9" s="195" t="str">
        <f>IF($I$6=Condiciones_RSD!F51,"|"&amp;$H$6&amp;"| ","")&amp;IF($I$7=Condiciones_RSD!F51,"|"&amp;$H$7&amp;"| ","")&amp;IF($I$8=Condiciones_RSD!F51,"|"&amp;$H$8&amp;"| ","")&amp;IF($I$9=Condiciones_RSD!F51,"|"&amp;$H$9&amp;"| ","")&amp;IF($I$10=Condiciones_RSD!F51,"|"&amp;$H$10&amp;"| ","")&amp;IF($I$11=Condiciones_RSD!F51,"|"&amp;$H$11&amp;"| ","")&amp;IF($I$12=Condiciones_RSD!F51,"|"&amp;$H$12&amp;"| ","")&amp;IF($I$13=Condiciones_RSD!F51,"|"&amp;$H$13&amp;"| ","")&amp;IF($I$14=Condiciones_RSD!F51,"|"&amp;$H$14&amp;"| ","")&amp;IF($I$15=Condiciones_RSD!F51,"|"&amp;$H$15&amp;"| ","")&amp;IF($I$16=Condiciones_RSD!F51,"|"&amp;$H$16&amp;"| ","")&amp;IF($I$17=Condiciones_RSD!F51,"|"&amp;$H$17&amp;"| ","")&amp;IF($I$18=Condiciones_RSD!F51,"|"&amp;$H$18&amp;"| ","")&amp;IF($I$19=Condiciones_RSD!F51,"|"&amp;$H$19&amp;"| ","")&amp;IF($I$20=Condiciones_RSD!F51,"|"&amp;$H$20&amp;"| ","")&amp;IF($I$21=Condiciones_RSD!F51,"|"&amp;$H$21&amp;"| ","")&amp;IF($I$22=Condiciones_RSD!F51,"|"&amp;$H$22&amp;"| ","")&amp;IF($I$23=Condiciones_RSD!F51,"|"&amp;$H$23&amp;"| ","")&amp;IF($I$24=Condiciones_RSD!F51,"|"&amp;$H$24&amp;"| ","")&amp;IF($I$25=Condiciones_RSD!F51,"|"&amp;$H$25&amp;"|","")</f>
        <v/>
      </c>
      <c r="O9" s="192" t="str">
        <f>IF($I$6=Condiciones_RSD!G51,"|"&amp;$H$6&amp;"| ","")&amp;IF($I$7=Condiciones_RSD!G51,"|"&amp;$H$7&amp;"| ","")&amp;IF($I$8=Condiciones_RSD!G51,"|"&amp;$H$8&amp;"| ","")&amp;IF($I$9=Condiciones_RSD!G51,"|"&amp;$H$9&amp;"| ","")&amp;IF($I$10=Condiciones_RSD!G51,"|"&amp;$H$10&amp;"| ","")&amp;IF($I$11=Condiciones_RSD!G51,"|"&amp;$H$11&amp;"| ","")&amp;IF($I$12=Condiciones_RSD!G51,"|"&amp;$H$12&amp;"| ","")&amp;IF($I$13=Condiciones_RSD!G51,"|"&amp;$H$13&amp;"| ","")&amp;IF($I$14=Condiciones_RSD!G51,"|"&amp;$H$14&amp;"| ","")&amp;IF($I$15=Condiciones_RSD!G51,"|"&amp;$H$15&amp;"| ","")&amp;IF($I$16=Condiciones_RSD!G51,"|"&amp;$H$16&amp;"| ","")&amp;IF($I$17=Condiciones_RSD!G51,"|"&amp;$H$17&amp;"| ","")&amp;IF($I$18=Condiciones_RSD!G51,"|"&amp;$H$18&amp;"| ","")&amp;IF($I$19=Condiciones_RSD!G51,"|"&amp;$H$19&amp;"| ","")&amp;IF($I$20=Condiciones_RSD!G51,"|"&amp;$H$20&amp;"| ","")&amp;IF($I$21=Condiciones_RSD!G51,"|"&amp;$H$21&amp;"| ","")&amp;IF($I$22=Condiciones_RSD!G51,"|"&amp;$H$22&amp;"| ","")&amp;IF($I$23=Condiciones_RSD!G51,"|"&amp;$H$23&amp;"| ","")&amp;IF($I$24=Condiciones_RSD!G51,"|"&amp;$H$24&amp;"| ","")&amp;IF($I$25=Condiciones_RSD!G51,"|"&amp;$H$25&amp;"|","")</f>
        <v xml:space="preserve">|ALI-SD1| </v>
      </c>
      <c r="P9" s="192" t="str">
        <f>IF($I$6=Condiciones_RSD!H51,"|"&amp;$H$6&amp;"| ","")&amp;IF($I$7=Condiciones_RSD!H51,"|"&amp;$H$7&amp;"| ","")&amp;IF($I$8=Condiciones_RSD!H51,"|"&amp;$H$8&amp;"| ","")&amp;IF($I$9=Condiciones_RSD!H51,"|"&amp;$H$9&amp;"| ","")&amp;IF($I$10=Condiciones_RSD!H51,"|"&amp;$H$10&amp;"| ","")&amp;IF($I$11=Condiciones_RSD!H51,"|"&amp;$H$11&amp;"| ","")&amp;IF($I$12=Condiciones_RSD!H51,"|"&amp;$H$12&amp;"| ","")&amp;IF($I$13=Condiciones_RSD!H51,"|"&amp;$H$13&amp;"| ","")&amp;IF($I$14=Condiciones_RSD!H51,"|"&amp;$H$14&amp;"| ","")&amp;IF($I$15=Condiciones_RSD!H51,"|"&amp;$H$15&amp;"| ","")&amp;IF($I$16=Condiciones_RSD!H51,"|"&amp;$H$16&amp;"| ","")&amp;IF($I$17=Condiciones_RSD!H51,"|"&amp;$H$17&amp;"| ","")&amp;IF($I$18=Condiciones_RSD!H51,"|"&amp;$H$18&amp;"| ","")&amp;IF($I$19=Condiciones_RSD!H51,"|"&amp;$H$19&amp;"| ","")&amp;IF($I$20=Condiciones_RSD!H51,"|"&amp;$H$20&amp;"| ","")&amp;IF($I$21=Condiciones_RSD!H51,"|"&amp;$H$21&amp;"| ","")&amp;IF($I$22=Condiciones_RSD!H51,"|"&amp;$H$22&amp;"| ","")&amp;IF($I$23=Condiciones_RSD!H51,"|"&amp;$H$23&amp;"| ","")&amp;IF($I$24=Condiciones_RSD!H51,"|"&amp;$H$24&amp;"| ","")&amp;IF($I$25=Condiciones_RSD!H51,"|"&amp;$H$25&amp;"|","")</f>
        <v xml:space="preserve">|APR-SD1| |APR-SD2| |APR-SD8| </v>
      </c>
      <c r="Q9" s="188" t="str">
        <f>IF($I$6=Condiciones_RSD!I51,"|"&amp;$H$6&amp;"| ","")&amp;IF($I$7=Condiciones_RSD!I51,"|"&amp;$H$7&amp;"| ","")&amp;IF($I$8=Condiciones_RSD!I51,"|"&amp;$H$8&amp;"| ","")&amp;IF($I$9=Condiciones_RSD!I51,"|"&amp;$H$9&amp;"| ","")&amp;IF($I$10=Condiciones_RSD!I51,"|"&amp;$H$10&amp;"| ","")&amp;IF($I$11=Condiciones_RSD!I51,"|"&amp;$H$11&amp;"| ","")&amp;IF($I$12=Condiciones_RSD!I51,"|"&amp;$H$12&amp;"| ","")&amp;IF($I$13=Condiciones_RSD!I51,"|"&amp;$H$13&amp;"| ","")&amp;IF($I$14=Condiciones_RSD!I51,"|"&amp;$H$14&amp;"| ","")&amp;IF($I$15=Condiciones_RSD!I51,"|"&amp;$H$15&amp;"| ","")&amp;IF($I$16=Condiciones_RSD!I51,"|"&amp;$H$16&amp;"| ","")&amp;IF($I$17=Condiciones_RSD!I51,"|"&amp;$H$17&amp;"| ","")&amp;IF($I$18=Condiciones_RSD!I51,"|"&amp;$H$18&amp;"| ","")&amp;IF($I$19=Condiciones_RSD!I51,"|"&amp;$H$19&amp;"| ","")&amp;IF($I$20=Condiciones_RSD!I51,"|"&amp;$H$20&amp;"| ","")&amp;IF($I$21=Condiciones_RSD!I51,"|"&amp;$H$21&amp;"| ","")&amp;IF($I$22=Condiciones_RSD!I51,"|"&amp;$H$22&amp;"| ","")&amp;IF($I$23=Condiciones_RSD!I51,"|"&amp;$H$23&amp;"| ","")&amp;IF($I$24=Condiciones_RSD!I51,"|"&amp;$H$24&amp;"| ","")&amp;IF($I$25=Condiciones_RSD!I51,"|"&amp;$H$25&amp;"|","")</f>
        <v xml:space="preserve">|APR-SD3| </v>
      </c>
      <c r="R9" s="189" t="str">
        <f>IF($I$6=Condiciones_RSD!J51,"|"&amp;$H$6&amp;"| ","")&amp;IF($I$7=Condiciones_RSD!J51,"|"&amp;$H$7&amp;"| ","")&amp;IF($I$8=Condiciones_RSD!J51,"|"&amp;$H$8&amp;"| ","")&amp;IF($I$9=Condiciones_RSD!J51,"|"&amp;$H$9&amp;"| ","")&amp;IF($I$10=Condiciones_RSD!J51,"|"&amp;$H$10&amp;"| ","")&amp;IF($I$11=Condiciones_RSD!J51,"|"&amp;$H$11&amp;"| ","")&amp;IF($I$12=Condiciones_RSD!J51,"|"&amp;$H$12&amp;"| ","")&amp;IF($I$13=Condiciones_RSD!J51,"|"&amp;$H$13&amp;"| ","")&amp;IF($I$14=Condiciones_RSD!J51,"|"&amp;$H$14&amp;"| ","")&amp;IF($I$15=Condiciones_RSD!J51,"|"&amp;$H$15&amp;"| ","")&amp;IF($I$16=Condiciones_RSD!J51,"|"&amp;$H$16&amp;"| ","")&amp;IF($I$17=Condiciones_RSD!J51,"|"&amp;$H$17&amp;"| ","")&amp;IF($I$18=Condiciones_RSD!J51,"|"&amp;$H$18&amp;"| ","")&amp;IF($I$19=Condiciones_RSD!J51,"|"&amp;$H$19&amp;"| ","")&amp;IF($I$20=Condiciones_RSD!J51,"|"&amp;$H$20&amp;"| ","")&amp;IF($I$21=Condiciones_RSD!J51,"|"&amp;$H$21&amp;"| ","")&amp;IF($I$22=Condiciones_RSD!J51,"|"&amp;$H$22&amp;"| ","")&amp;IF($I$23=Condiciones_RSD!J51,"|"&amp;$H$23&amp;"| ","")&amp;IF($I$24=Condiciones_RSD!J51,"|"&amp;$H$24&amp;"| ","")&amp;IF($I$25=Condiciones_RSD!J51,"|"&amp;$H$25&amp;"|","")</f>
        <v xml:space="preserve">|APR-SD4| |APR-SD5| </v>
      </c>
      <c r="W9" s="355"/>
      <c r="X9" s="194" t="s">
        <v>437</v>
      </c>
      <c r="Y9" s="196" t="str">
        <f>IF($T$6=Condiciones_RSD!F51,"|"&amp;$U$3&amp;"i| ","")&amp;IF($U$6=Condiciones_RSD!F51,"|"&amp;$U$3&amp;"r| ","")</f>
        <v/>
      </c>
      <c r="Z9" s="193" t="str">
        <f>IF($T$6=Condiciones_RSD!G51,"|"&amp;$U$3&amp;"i| ","")&amp;IF($U$6=Condiciones_RSD!G51,"|"&amp;$U$3&amp;"r| ","")</f>
        <v/>
      </c>
      <c r="AA9" s="193" t="str">
        <f>IF($T$6=Condiciones_RSD!H51,"|"&amp;$U$3&amp;"i| ","")&amp;IF($U$6=Condiciones_RSD!H51,"|"&amp;$U$3&amp;"r| ","")</f>
        <v/>
      </c>
      <c r="AB9" s="190" t="str">
        <f>IF($T$6=Condiciones_RSD!I51,"|"&amp;$U$3&amp;"i| ","")&amp;IF($U$6=Condiciones_RSD!I51,"|"&amp;$U$3&amp;"r| ","")</f>
        <v/>
      </c>
      <c r="AC9" s="191" t="str">
        <f>IF($T$6=Condiciones_RSD!J51,"|"&amp;$U$3&amp;"i| ","")&amp;IF($U$6=Condiciones_RSD!J51,"|"&amp;$U$3&amp;"r| ","")</f>
        <v/>
      </c>
    </row>
    <row r="10" spans="1:29" ht="45" x14ac:dyDescent="0.25">
      <c r="A10" s="203" t="str">
        <f>R_S_Digital[[#This Row],[Proceso]]</f>
        <v>Apropiación social del conocimiento y del patrimonio</v>
      </c>
      <c r="B10" s="222" t="str">
        <f>R_S_Digital[[#This Row],[Código Riesgo]]</f>
        <v>ASCP-SE3</v>
      </c>
      <c r="C10" s="204" t="e">
        <f>#REF!</f>
        <v>#REF!</v>
      </c>
      <c r="D10" s="204" t="e">
        <f>#REF!</f>
        <v>#REF!</v>
      </c>
      <c r="E10" s="205" t="str">
        <f>R_S_Digital[[#This Row],[Severidad inherente]]</f>
        <v>ALTO</v>
      </c>
      <c r="F10" s="205" t="str">
        <f>R_S_Digital[[#This Row],[Severidad residual]]</f>
        <v>EXTREMO</v>
      </c>
      <c r="G10" s="182"/>
      <c r="H10" s="186" t="s">
        <v>627</v>
      </c>
      <c r="I10" s="221">
        <v>10</v>
      </c>
      <c r="J10" s="221">
        <v>10</v>
      </c>
      <c r="L10" s="355"/>
      <c r="M10" s="91" t="s">
        <v>441</v>
      </c>
      <c r="N10" s="195" t="str">
        <f>IF($I$6=Condiciones_RSD!F52,"|"&amp;$H$6&amp;"| ","")&amp;IF($I$7=Condiciones_RSD!F52,"|"&amp;$H$7&amp;"| ","")&amp;IF($I$8=Condiciones_RSD!F52,"|"&amp;$H$8&amp;"| ","")&amp;IF($I$9=Condiciones_RSD!F52,"|"&amp;$H$9&amp;"| ","")&amp;IF($I$10=Condiciones_RSD!F52,"|"&amp;$H$10&amp;"| ","")&amp;IF($I$11=Condiciones_RSD!F52,"|"&amp;$H$11&amp;"| ","")&amp;IF($I$12=Condiciones_RSD!F52,"|"&amp;$H$12&amp;"| ","")&amp;IF($I$13=Condiciones_RSD!F52,"|"&amp;$H$13&amp;"| ","")&amp;IF($I$14=Condiciones_RSD!F52,"|"&amp;$H$14&amp;"| ","")&amp;IF($I$15=Condiciones_RSD!F52,"|"&amp;$H$15&amp;"| ","")&amp;IF($I$16=Condiciones_RSD!F52,"|"&amp;$H$16&amp;"| ","")&amp;IF($I$17=Condiciones_RSD!F52,"|"&amp;$H$17&amp;"| ","")&amp;IF($I$18=Condiciones_RSD!F52,"|"&amp;$H$18&amp;"| ","")&amp;IF($I$19=Condiciones_RSD!F52,"|"&amp;$H$19&amp;"| ","")&amp;IF($I$20=Condiciones_RSD!F52,"|"&amp;$H$20&amp;"| ","")&amp;IF($I$21=Condiciones_RSD!F52,"|"&amp;$H$21&amp;"| ","")&amp;IF($I$22=Condiciones_RSD!F52,"|"&amp;$H$22&amp;"| ","")&amp;IF($I$23=Condiciones_RSD!F52,"|"&amp;$H$23&amp;"| ","")&amp;IF($I$24=Condiciones_RSD!F52,"|"&amp;$H$24&amp;"| ","")&amp;IF($I$25=Condiciones_RSD!F52,"|"&amp;$H$25&amp;"|","")</f>
        <v/>
      </c>
      <c r="O10" s="195" t="str">
        <f>IF($I$6=Condiciones_RSD!G52,"|"&amp;$H$6&amp;"| ","")&amp;IF($I$7=Condiciones_RSD!G52,"|"&amp;$H$7&amp;"| ","")&amp;IF($I$8=Condiciones_RSD!G52,"|"&amp;$H$8&amp;"| ","")&amp;IF($I$9=Condiciones_RSD!G52,"|"&amp;$H$9&amp;"| ","")&amp;IF($I$10=Condiciones_RSD!G52,"|"&amp;$H$10&amp;"| ","")&amp;IF($I$11=Condiciones_RSD!G52,"|"&amp;$H$11&amp;"| ","")&amp;IF($I$12=Condiciones_RSD!G52,"|"&amp;$H$12&amp;"| ","")&amp;IF($I$13=Condiciones_RSD!G52,"|"&amp;$H$13&amp;"| ","")&amp;IF($I$14=Condiciones_RSD!G52,"|"&amp;$H$14&amp;"| ","")&amp;IF($I$15=Condiciones_RSD!G52,"|"&amp;$H$15&amp;"| ","")&amp;IF($I$16=Condiciones_RSD!G52,"|"&amp;$H$16&amp;"| ","")&amp;IF($I$17=Condiciones_RSD!G52,"|"&amp;$H$17&amp;"| ","")&amp;IF($I$18=Condiciones_RSD!G52,"|"&amp;$H$18&amp;"| ","")&amp;IF($I$19=Condiciones_RSD!G52,"|"&amp;$H$19&amp;"| ","")&amp;IF($I$20=Condiciones_RSD!G52,"|"&amp;$H$20&amp;"| ","")&amp;IF($I$21=Condiciones_RSD!G52,"|"&amp;$H$21&amp;"| ","")&amp;IF($I$22=Condiciones_RSD!G52,"|"&amp;$H$22&amp;"| ","")&amp;IF($I$23=Condiciones_RSD!G52,"|"&amp;$H$23&amp;"| ","")&amp;IF($I$24=Condiciones_RSD!G52,"|"&amp;$H$24&amp;"| ","")&amp;IF($I$25=Condiciones_RSD!G52,"|"&amp;$H$25&amp;"|","")</f>
        <v/>
      </c>
      <c r="P10" s="192" t="str">
        <f>IF($I$6=Condiciones_RSD!H52,"|"&amp;$H$6&amp;"| ","")&amp;IF($I$7=Condiciones_RSD!H52,"|"&amp;$H$7&amp;"| ","")&amp;IF($I$8=Condiciones_RSD!H52,"|"&amp;$H$8&amp;"| ","")&amp;IF($I$9=Condiciones_RSD!H52,"|"&amp;$H$9&amp;"| ","")&amp;IF($I$10=Condiciones_RSD!H52,"|"&amp;$H$10&amp;"| ","")&amp;IF($I$11=Condiciones_RSD!H52,"|"&amp;$H$11&amp;"| ","")&amp;IF($I$12=Condiciones_RSD!H52,"|"&amp;$H$12&amp;"| ","")&amp;IF($I$13=Condiciones_RSD!H52,"|"&amp;$H$13&amp;"| ","")&amp;IF($I$14=Condiciones_RSD!H52,"|"&amp;$H$14&amp;"| ","")&amp;IF($I$15=Condiciones_RSD!H52,"|"&amp;$H$15&amp;"| ","")&amp;IF($I$16=Condiciones_RSD!H52,"|"&amp;$H$16&amp;"| ","")&amp;IF($I$17=Condiciones_RSD!H52,"|"&amp;$H$17&amp;"| ","")&amp;IF($I$18=Condiciones_RSD!H52,"|"&amp;$H$18&amp;"| ","")&amp;IF($I$19=Condiciones_RSD!H52,"|"&amp;$H$19&amp;"| ","")&amp;IF($I$20=Condiciones_RSD!H52,"|"&amp;$H$20&amp;"| ","")&amp;IF($I$21=Condiciones_RSD!H52,"|"&amp;$H$21&amp;"| ","")&amp;IF($I$22=Condiciones_RSD!H52,"|"&amp;$H$22&amp;"| ","")&amp;IF($I$23=Condiciones_RSD!H52,"|"&amp;$H$23&amp;"| ","")&amp;IF($I$24=Condiciones_RSD!H52,"|"&amp;$H$24&amp;"| ","")&amp;IF($I$25=Condiciones_RSD!H52,"|"&amp;$H$25&amp;"|","")</f>
        <v/>
      </c>
      <c r="Q10" s="188" t="str">
        <f>IF($I$6=Condiciones_RSD!I52,"|"&amp;$H$6&amp;"| ","")&amp;IF($I$7=Condiciones_RSD!I52,"|"&amp;$H$7&amp;"| ","")&amp;IF($I$8=Condiciones_RSD!I52,"|"&amp;$H$8&amp;"| ","")&amp;IF($I$9=Condiciones_RSD!I52,"|"&amp;$H$9&amp;"| ","")&amp;IF($I$10=Condiciones_RSD!I52,"|"&amp;$H$10&amp;"| ","")&amp;IF($I$11=Condiciones_RSD!I52,"|"&amp;$H$11&amp;"| ","")&amp;IF($I$12=Condiciones_RSD!I52,"|"&amp;$H$12&amp;"| ","")&amp;IF($I$13=Condiciones_RSD!I52,"|"&amp;$H$13&amp;"| ","")&amp;IF($I$14=Condiciones_RSD!I52,"|"&amp;$H$14&amp;"| ","")&amp;IF($I$15=Condiciones_RSD!I52,"|"&amp;$H$15&amp;"| ","")&amp;IF($I$16=Condiciones_RSD!I52,"|"&amp;$H$16&amp;"| ","")&amp;IF($I$17=Condiciones_RSD!I52,"|"&amp;$H$17&amp;"| ","")&amp;IF($I$18=Condiciones_RSD!I52,"|"&amp;$H$18&amp;"| ","")&amp;IF($I$19=Condiciones_RSD!I52,"|"&amp;$H$19&amp;"| ","")&amp;IF($I$20=Condiciones_RSD!I52,"|"&amp;$H$20&amp;"| ","")&amp;IF($I$21=Condiciones_RSD!I52,"|"&amp;$H$21&amp;"| ","")&amp;IF($I$22=Condiciones_RSD!I52,"|"&amp;$H$22&amp;"| ","")&amp;IF($I$23=Condiciones_RSD!I52,"|"&amp;$H$23&amp;"| ","")&amp;IF($I$24=Condiciones_RSD!I52,"|"&amp;$H$24&amp;"| ","")&amp;IF($I$25=Condiciones_RSD!I52,"|"&amp;$H$25&amp;"|","")</f>
        <v/>
      </c>
      <c r="R10" s="189" t="str">
        <f>IF($I$6=Condiciones_RSD!J52,"|"&amp;$H$6&amp;"| ","")&amp;IF($I$7=Condiciones_RSD!J52,"|"&amp;$H$7&amp;"| ","")&amp;IF($I$8=Condiciones_RSD!J52,"|"&amp;$H$8&amp;"| ","")&amp;IF($I$9=Condiciones_RSD!J52,"|"&amp;$H$9&amp;"| ","")&amp;IF($I$10=Condiciones_RSD!J52,"|"&amp;$H$10&amp;"| ","")&amp;IF($I$11=Condiciones_RSD!J52,"|"&amp;$H$11&amp;"| ","")&amp;IF($I$12=Condiciones_RSD!J52,"|"&amp;$H$12&amp;"| ","")&amp;IF($I$13=Condiciones_RSD!J52,"|"&amp;$H$13&amp;"| ","")&amp;IF($I$14=Condiciones_RSD!J52,"|"&amp;$H$14&amp;"| ","")&amp;IF($I$15=Condiciones_RSD!J52,"|"&amp;$H$15&amp;"| ","")&amp;IF($I$16=Condiciones_RSD!J52,"|"&amp;$H$16&amp;"| ","")&amp;IF($I$17=Condiciones_RSD!J52,"|"&amp;$H$17&amp;"| ","")&amp;IF($I$18=Condiciones_RSD!J52,"|"&amp;$H$18&amp;"| ","")&amp;IF($I$19=Condiciones_RSD!J52,"|"&amp;$H$19&amp;"| ","")&amp;IF($I$20=Condiciones_RSD!J52,"|"&amp;$H$20&amp;"| ","")&amp;IF($I$21=Condiciones_RSD!J52,"|"&amp;$H$21&amp;"| ","")&amp;IF($I$22=Condiciones_RSD!J52,"|"&amp;$H$22&amp;"| ","")&amp;IF($I$23=Condiciones_RSD!J52,"|"&amp;$H$23&amp;"| ","")&amp;IF($I$24=Condiciones_RSD!J52,"|"&amp;$H$24&amp;"| ","")&amp;IF($I$25=Condiciones_RSD!J52,"|"&amp;$H$25&amp;"|","")</f>
        <v/>
      </c>
      <c r="W10" s="355"/>
      <c r="X10" s="91" t="s">
        <v>441</v>
      </c>
      <c r="Y10" s="196" t="str">
        <f>IF($T$6=Condiciones_RSD!F52,"|"&amp;$U$3&amp;"i| ","")&amp;IF($U$6=Condiciones_RSD!F52,"|"&amp;$U$3&amp;"r| ","")</f>
        <v/>
      </c>
      <c r="Z10" s="196" t="str">
        <f>IF($T$6=Condiciones_RSD!G52,"|"&amp;$U$3&amp;"i| ","")&amp;IF($U$6=Condiciones_RSD!G52,"|"&amp;$U$3&amp;"r| ","")</f>
        <v/>
      </c>
      <c r="AA10" s="193" t="str">
        <f>IF($T$6=Condiciones_RSD!H52,"|"&amp;$U$3&amp;"i| ","")&amp;IF($U$6=Condiciones_RSD!H52,"|"&amp;$U$3&amp;"r| ","")</f>
        <v/>
      </c>
      <c r="AB10" s="190" t="str">
        <f>IF($T$6=Condiciones_RSD!I52,"|"&amp;$U$3&amp;"i| ","")&amp;IF($U$6=Condiciones_RSD!I52,"|"&amp;$U$3&amp;"r| ","")</f>
        <v/>
      </c>
      <c r="AC10" s="191" t="str">
        <f>IF($T$6=Condiciones_RSD!J52,"|"&amp;$U$3&amp;"i| ","")&amp;IF($U$6=Condiciones_RSD!J52,"|"&amp;$U$3&amp;"r| ","")</f>
        <v/>
      </c>
    </row>
    <row r="11" spans="1:29" ht="45" x14ac:dyDescent="0.25">
      <c r="A11" s="203" t="str">
        <f>R_S_Digital[[#This Row],[Proceso]]</f>
        <v>Apropiación social del conocimiento y del patrimonio</v>
      </c>
      <c r="B11" s="222" t="str">
        <f>R_S_Digital[[#This Row],[Código Riesgo]]</f>
        <v>ASCP-SE4</v>
      </c>
      <c r="C11" s="204" t="e">
        <f>#REF!</f>
        <v>#REF!</v>
      </c>
      <c r="D11" s="204" t="e">
        <f>#REF!</f>
        <v>#REF!</v>
      </c>
      <c r="E11" s="205" t="str">
        <f>R_S_Digital[[#This Row],[Severidad inherente]]</f>
        <v>ALTO</v>
      </c>
      <c r="F11" s="205" t="str">
        <f>R_S_Digital[[#This Row],[Severidad residual]]</f>
        <v>EXTREMO</v>
      </c>
      <c r="G11" s="182"/>
      <c r="H11" s="186" t="s">
        <v>628</v>
      </c>
      <c r="I11" s="221">
        <v>10</v>
      </c>
      <c r="J11" s="221">
        <v>10</v>
      </c>
      <c r="M11" s="117"/>
      <c r="N11" s="91" t="s">
        <v>442</v>
      </c>
      <c r="O11" s="194" t="s">
        <v>443</v>
      </c>
      <c r="P11" s="115" t="s">
        <v>67</v>
      </c>
      <c r="Q11" s="103" t="s">
        <v>444</v>
      </c>
      <c r="R11" s="187" t="s">
        <v>445</v>
      </c>
      <c r="X11" s="117"/>
      <c r="Y11" s="91" t="s">
        <v>442</v>
      </c>
      <c r="Z11" s="194" t="s">
        <v>443</v>
      </c>
      <c r="AA11" s="115" t="s">
        <v>67</v>
      </c>
      <c r="AB11" s="197" t="s">
        <v>444</v>
      </c>
      <c r="AC11" s="187" t="s">
        <v>445</v>
      </c>
    </row>
    <row r="12" spans="1:29" x14ac:dyDescent="0.25">
      <c r="A12" s="203" t="str">
        <f>R_S_Digital[[#This Row],[Proceso]]</f>
        <v>Control Disciplinario</v>
      </c>
      <c r="B12" s="222" t="str">
        <f>R_S_Digital[[#This Row],[Código Riesgo]]</f>
        <v>CD-CDI1</v>
      </c>
      <c r="C12" s="204" t="e">
        <f>#REF!</f>
        <v>#REF!</v>
      </c>
      <c r="D12" s="204" t="e">
        <f>#REF!</f>
        <v>#REF!</v>
      </c>
      <c r="E12" s="205" t="str">
        <f>R_S_Digital[[#This Row],[Severidad inherente]]</f>
        <v>MODERADO</v>
      </c>
      <c r="F12" s="205" t="str">
        <f>R_S_Digital[[#This Row],[Severidad residual]]</f>
        <v>MODERADO</v>
      </c>
      <c r="G12" s="182"/>
      <c r="H12" s="186" t="s">
        <v>629</v>
      </c>
      <c r="I12" s="221">
        <v>16</v>
      </c>
      <c r="J12" s="221">
        <v>16</v>
      </c>
      <c r="N12" s="356" t="s">
        <v>31</v>
      </c>
      <c r="O12" s="356"/>
      <c r="P12" s="356"/>
      <c r="Q12" s="356"/>
      <c r="R12" s="356"/>
      <c r="Y12" s="356" t="s">
        <v>31</v>
      </c>
      <c r="Z12" s="356"/>
      <c r="AA12" s="356"/>
      <c r="AB12" s="356"/>
      <c r="AC12" s="356"/>
    </row>
    <row r="13" spans="1:29" x14ac:dyDescent="0.25">
      <c r="A13" s="203" t="str">
        <f>R_S_Digital[[#This Row],[Proceso]]</f>
        <v>Contabilidad y presupuesto</v>
      </c>
      <c r="B13" s="222" t="str">
        <f>R_S_Digital[[#This Row],[Código Riesgo]]</f>
        <v>CP-GF1</v>
      </c>
      <c r="C13" s="204" t="e">
        <f>#REF!</f>
        <v>#REF!</v>
      </c>
      <c r="D13" s="204" t="e">
        <f>#REF!</f>
        <v>#REF!</v>
      </c>
      <c r="E13" s="205" t="str">
        <f>R_S_Digital[[#This Row],[Severidad inherente]]</f>
        <v>ALTO</v>
      </c>
      <c r="F13" s="205" t="str">
        <f>R_S_Digital[[#This Row],[Severidad residual]]</f>
        <v>MODERADO</v>
      </c>
      <c r="G13" s="182"/>
      <c r="H13" s="186" t="s">
        <v>630</v>
      </c>
      <c r="I13" s="221">
        <v>22</v>
      </c>
      <c r="J13" s="221">
        <v>16</v>
      </c>
    </row>
    <row r="14" spans="1:29" ht="29.1" customHeight="1" x14ac:dyDescent="0.25">
      <c r="A14" s="203" t="str">
        <f>R_S_Digital[[#This Row],[Proceso]]</f>
        <v>Contabilidad y presupuesto</v>
      </c>
      <c r="B14" s="222" t="str">
        <f>R_S_Digital[[#This Row],[Código Riesgo]]</f>
        <v>CP-GF2</v>
      </c>
      <c r="C14" s="204" t="e">
        <f>#REF!</f>
        <v>#REF!</v>
      </c>
      <c r="D14" s="204" t="e">
        <f>#REF!</f>
        <v>#REF!</v>
      </c>
      <c r="E14" s="205" t="str">
        <f>R_S_Digital[[#This Row],[Severidad inherente]]</f>
        <v>ALTO</v>
      </c>
      <c r="F14" s="205" t="str">
        <f>R_S_Digital[[#This Row],[Severidad residual]]</f>
        <v>ALTO</v>
      </c>
      <c r="G14" s="182"/>
      <c r="H14" s="186" t="s">
        <v>631</v>
      </c>
      <c r="I14" s="221">
        <v>22</v>
      </c>
      <c r="J14" s="221">
        <v>16</v>
      </c>
      <c r="M14" s="376" t="str">
        <f>"Matriz de calor riesgo RESIDUAL proceso: "&amp;I3</f>
        <v>Matriz de calor riesgo RESIDUAL proceso: (Todas)</v>
      </c>
      <c r="N14" s="376"/>
      <c r="O14" s="376"/>
      <c r="P14" s="376"/>
      <c r="Q14" s="376"/>
      <c r="R14" s="376"/>
      <c r="Y14" s="125" t="s">
        <v>446</v>
      </c>
    </row>
    <row r="15" spans="1:29" ht="14.45" customHeight="1" x14ac:dyDescent="0.25">
      <c r="A15" s="203" t="str">
        <f>R_S_Digital[[#This Row],[Proceso]]</f>
        <v>Contabilidad y presupuesto</v>
      </c>
      <c r="B15" s="222" t="str">
        <f>R_S_Digital[[#This Row],[Código Riesgo]]</f>
        <v>CP-GF3</v>
      </c>
      <c r="C15" s="204" t="e">
        <f>#REF!</f>
        <v>#REF!</v>
      </c>
      <c r="D15" s="204" t="e">
        <f>#REF!</f>
        <v>#REF!</v>
      </c>
      <c r="E15" s="205" t="str">
        <f>R_S_Digital[[#This Row],[Severidad inherente]]</f>
        <v>EXTREMO</v>
      </c>
      <c r="F15" s="205" t="str">
        <f>R_S_Digital[[#This Row],[Severidad residual]]</f>
        <v>ALTO</v>
      </c>
      <c r="G15" s="182"/>
      <c r="H15" s="186" t="s">
        <v>632</v>
      </c>
      <c r="I15" s="221">
        <v>19</v>
      </c>
      <c r="J15" s="221">
        <v>19</v>
      </c>
      <c r="L15" s="355" t="s">
        <v>380</v>
      </c>
      <c r="M15" s="187" t="s">
        <v>427</v>
      </c>
      <c r="N15" s="198" t="str">
        <f>IF($J$6=Condiciones_RSD!F48,"|"&amp;$H$6&amp;"| ","")&amp;IF($J$7=Condiciones_RSD!F48,"|"&amp;$H$7&amp;"| ","")&amp;IF($J$8=Condiciones_RSD!F48,"|"&amp;$H$8&amp;"| ","")&amp;IF($J$9=Condiciones_RSD!F48,"|"&amp;$H$9&amp;"| ","")&amp;IF($J$10=Condiciones_RSD!F48,"|"&amp;$H$10&amp;"| ","")&amp;IF($J$11=Condiciones_RSD!F48,"|"&amp;$H$11&amp;"| ","")&amp;IF($J$12=Condiciones_RSD!F48,"|"&amp;$H$12&amp;"| ","")&amp;IF($J$13=Condiciones_RSD!F48,"|"&amp;$H$13&amp;"| ","")&amp;IF($J$14=Condiciones_RSD!F48,"|"&amp;$H$14&amp;"| ","")&amp;IF($J$15=Condiciones_RSD!F48,"|"&amp;$H$15&amp;"| ","")&amp;IF($J$16=Condiciones_RSD!F48,"|"&amp;$H$16&amp;"| ","")&amp;IF($J$17=Condiciones_RSD!F48,"|"&amp;$H$17&amp;"| ","")&amp;IF($J$18=Condiciones_RSD!F48,"|"&amp;$H$18&amp;"| ","")&amp;IF($J$19=Condiciones_RSD!F48,"|"&amp;$H$19&amp;"| ","")&amp;IF($J$20=Condiciones_RSD!F48,"|"&amp;$H$20&amp;"| ","")&amp;IF($J$21=Condiciones_RSD!F48,"|"&amp;$H$21&amp;"| ","")&amp;IF($J$22=Condiciones_RSD!F48,"|"&amp;$H$22&amp;"| ","")&amp;IF($J$23=Condiciones_RSD!F48,"|"&amp;$H$23&amp;"| ","")&amp;IF($J$24=Condiciones_RSD!F48,"|"&amp;$H$24&amp;"| ","")&amp;IF($J$25=Condiciones_RSD!F48,"|"&amp;$H$25&amp;"|","")</f>
        <v/>
      </c>
      <c r="O15" s="198" t="str">
        <f>IF($J$6=Condiciones_RSD!G48,"|"&amp;$H$6&amp;"| ","")&amp;IF($J$7=Condiciones_RSD!G48,"|"&amp;$H$7&amp;"| ","")&amp;IF($J$8=Condiciones_RSD!G48,"|"&amp;$H$8&amp;"| ","")&amp;IF($J$9=Condiciones_RSD!G48,"|"&amp;$H$9&amp;"| ","")&amp;IF($J$10=Condiciones_RSD!G48,"|"&amp;$H$10&amp;"| ","")&amp;IF($J$11=Condiciones_RSD!G48,"|"&amp;$H$11&amp;"| ","")&amp;IF($J$12=Condiciones_RSD!G48,"|"&amp;$H$12&amp;"| ","")&amp;IF($J$13=Condiciones_RSD!G48,"|"&amp;$H$13&amp;"| ","")&amp;IF($J$14=Condiciones_RSD!G48,"|"&amp;$H$14&amp;"| ","")&amp;IF($J$15=Condiciones_RSD!G48,"|"&amp;$H$15&amp;"| ","")&amp;IF($J$16=Condiciones_RSD!G48,"|"&amp;$H$16&amp;"| ","")&amp;IF($J$17=Condiciones_RSD!G48,"|"&amp;$H$17&amp;"| ","")&amp;IF($J$18=Condiciones_RSD!G48,"|"&amp;$H$18&amp;"| ","")&amp;IF($J$19=Condiciones_RSD!G48,"|"&amp;$H$19&amp;"| ","")&amp;IF($J$20=Condiciones_RSD!G48,"|"&amp;$H$20&amp;"| ","")&amp;IF($J$21=Condiciones_RSD!G48,"|"&amp;$H$21&amp;"| ","")&amp;IF($J$22=Condiciones_RSD!G48,"|"&amp;$H$22&amp;"| ","")&amp;IF($J$23=Condiciones_RSD!G48,"|"&amp;$H$23&amp;"| ","")&amp;IF($J$24=Condiciones_RSD!G48,"|"&amp;$H$24&amp;"| ","")&amp;IF($J$25=Condiciones_RSD!G48,"|"&amp;$H$25&amp;"|","")</f>
        <v xml:space="preserve">|COM-SD11| </v>
      </c>
      <c r="P15" s="198" t="str">
        <f>IF($J$6=Condiciones_RSD!H48,"|"&amp;$H$6&amp;"| ","")&amp;IF($J$7=Condiciones_RSD!H48,"|"&amp;$H$7&amp;"| ","")&amp;IF($J$8=Condiciones_RSD!H48,"|"&amp;$H$8&amp;"| ","")&amp;IF($J$9=Condiciones_RSD!H48,"|"&amp;$H$9&amp;"| ","")&amp;IF($J$10=Condiciones_RSD!H48,"|"&amp;$H$10&amp;"| ","")&amp;IF($J$11=Condiciones_RSD!H48,"|"&amp;$H$11&amp;"| ","")&amp;IF($J$12=Condiciones_RSD!H48,"|"&amp;$H$12&amp;"| ","")&amp;IF($J$13=Condiciones_RSD!H48,"|"&amp;$H$13&amp;"| ","")&amp;IF($J$14=Condiciones_RSD!H48,"|"&amp;$H$14&amp;"| ","")&amp;IF($J$15=Condiciones_RSD!H48,"|"&amp;$H$15&amp;"| ","")&amp;IF($J$16=Condiciones_RSD!H48,"|"&amp;$H$16&amp;"| ","")&amp;IF($J$17=Condiciones_RSD!H48,"|"&amp;$H$17&amp;"| ","")&amp;IF($J$18=Condiciones_RSD!H48,"|"&amp;$H$18&amp;"| ","")&amp;IF($J$19=Condiciones_RSD!H48,"|"&amp;$H$19&amp;"| ","")&amp;IF($J$20=Condiciones_RSD!H48,"|"&amp;$H$20&amp;"| ","")&amp;IF($J$21=Condiciones_RSD!H48,"|"&amp;$H$21&amp;"| ","")&amp;IF($J$22=Condiciones_RSD!H48,"|"&amp;$H$22&amp;"| ","")&amp;IF($J$23=Condiciones_RSD!H48,"|"&amp;$H$23&amp;"| ","")&amp;IF($J$24=Condiciones_RSD!H48,"|"&amp;$H$24&amp;"| ","")&amp;IF($J$25=Condiciones_RSD!H48,"|"&amp;$H$25&amp;"|","")</f>
        <v xml:space="preserve">|ALI-SD2| </v>
      </c>
      <c r="Q15" s="198" t="str">
        <f>IF($J$6=Condiciones_RSD!I48,"|"&amp;$H$6&amp;"| ","")&amp;IF($J$7=Condiciones_RSD!I48,"|"&amp;$H$7&amp;"| ","")&amp;IF($J$8=Condiciones_RSD!I48,"|"&amp;$H$8&amp;"| ","")&amp;IF($J$9=Condiciones_RSD!I48,"|"&amp;$H$9&amp;"| ","")&amp;IF($J$10=Condiciones_RSD!I48,"|"&amp;$H$10&amp;"| ","")&amp;IF($J$11=Condiciones_RSD!I48,"|"&amp;$H$11&amp;"| ","")&amp;IF($J$12=Condiciones_RSD!I48,"|"&amp;$H$12&amp;"| ","")&amp;IF($J$13=Condiciones_RSD!I48,"|"&amp;$H$13&amp;"| ","")&amp;IF($J$14=Condiciones_RSD!I48,"|"&amp;$H$14&amp;"| ","")&amp;IF($J$15=Condiciones_RSD!I48,"|"&amp;$H$15&amp;"| ","")&amp;IF($J$16=Condiciones_RSD!I48,"|"&amp;$H$16&amp;"| ","")&amp;IF($J$17=Condiciones_RSD!I48,"|"&amp;$H$17&amp;"| ","")&amp;IF($J$18=Condiciones_RSD!I48,"|"&amp;$H$18&amp;"| ","")&amp;IF($J$19=Condiciones_RSD!I48,"|"&amp;$H$19&amp;"| ","")&amp;IF($J$20=Condiciones_RSD!I48,"|"&amp;$H$20&amp;"| ","")&amp;IF($J$21=Condiciones_RSD!I48,"|"&amp;$H$21&amp;"| ","")&amp;IF($J$22=Condiciones_RSD!I48,"|"&amp;$H$22&amp;"| ","")&amp;IF($J$23=Condiciones_RSD!I48,"|"&amp;$H$23&amp;"| ","")&amp;IF($J$24=Condiciones_RSD!I48,"|"&amp;$H$24&amp;"| ","")&amp;IF($J$25=Condiciones_RSD!I48,"|"&amp;$H$25&amp;"|","")</f>
        <v>|COM-SD10| |COM-SD12| |COM-SD13| |COM-SD14| |COM-SD2|</v>
      </c>
      <c r="R15" s="199" t="str">
        <f>IF($J$6=Condiciones_RSD!J48,"|"&amp;$H$6&amp;"| ","")&amp;IF($J$7=Condiciones_RSD!J48,"|"&amp;$H$7&amp;"| ","")&amp;IF($J$8=Condiciones_RSD!J48,"|"&amp;$H$8&amp;"| ","")&amp;IF($J$9=Condiciones_RSD!J48,"|"&amp;$H$9&amp;"| ","")&amp;IF($J$10=Condiciones_RSD!J48,"|"&amp;$H$10&amp;"| ","")&amp;IF($J$11=Condiciones_RSD!J48,"|"&amp;$H$11&amp;"| ","")&amp;IF($J$12=Condiciones_RSD!J48,"|"&amp;$H$12&amp;"| ","")&amp;IF($J$13=Condiciones_RSD!J48,"|"&amp;$H$13&amp;"| ","")&amp;IF($J$14=Condiciones_RSD!J48,"|"&amp;$H$14&amp;"| ","")&amp;IF($J$15=Condiciones_RSD!J48,"|"&amp;$H$15&amp;"| ","")&amp;IF($J$16=Condiciones_RSD!J48,"|"&amp;$H$16&amp;"| ","")&amp;IF($J$17=Condiciones_RSD!J48,"|"&amp;$H$17&amp;"| ","")&amp;IF($J$18=Condiciones_RSD!J48,"|"&amp;$H$18&amp;"| ","")&amp;IF($J$19=Condiciones_RSD!J48,"|"&amp;$H$19&amp;"| ","")&amp;IF($J$20=Condiciones_RSD!J48,"|"&amp;$H$20&amp;"| ","")&amp;IF($J$21=Condiciones_RSD!J48,"|"&amp;$H$21&amp;"| ","")&amp;IF($J$22=Condiciones_RSD!J48,"|"&amp;$H$22&amp;"| ","")&amp;IF($J$23=Condiciones_RSD!J48,"|"&amp;$H$23&amp;"| ","")&amp;IF($J$24=Condiciones_RSD!J48,"|"&amp;$H$24&amp;"| ","")&amp;IF($J$25=Condiciones_RSD!J48,"|"&amp;$H$25&amp;"|","")</f>
        <v/>
      </c>
      <c r="Y15" s="194" t="s">
        <v>170</v>
      </c>
    </row>
    <row r="16" spans="1:29" ht="14.45" customHeight="1" x14ac:dyDescent="0.25">
      <c r="A16" s="203" t="str">
        <f>R_S_Digital[[#This Row],[Proceso]]</f>
        <v>Direccionamiento estratégico</v>
      </c>
      <c r="B16" s="222" t="str">
        <f>R_S_Digital[[#This Row],[Código Riesgo]]</f>
        <v>DIR-DG1</v>
      </c>
      <c r="C16" s="204" t="e">
        <f>#REF!</f>
        <v>#REF!</v>
      </c>
      <c r="D16" s="204" t="e">
        <f>#REF!</f>
        <v>#REF!</v>
      </c>
      <c r="E16" s="205" t="str">
        <f>R_S_Digital[[#This Row],[Severidad inherente]]</f>
        <v>ALTO</v>
      </c>
      <c r="F16" s="205" t="str">
        <f>R_S_Digital[[#This Row],[Severidad residual]]</f>
        <v>MODERADO</v>
      </c>
      <c r="G16" s="182"/>
      <c r="H16" s="186" t="s">
        <v>633</v>
      </c>
      <c r="I16" s="221">
        <v>15</v>
      </c>
      <c r="J16" s="221">
        <v>15</v>
      </c>
      <c r="L16" s="355"/>
      <c r="M16" s="103" t="s">
        <v>430</v>
      </c>
      <c r="N16" s="200" t="str">
        <f>IF($J$6=Condiciones_RSD!F49,"|"&amp;$H$6&amp;"| ","")&amp;IF($J$7=Condiciones_RSD!F49,"|"&amp;$H$7&amp;"| ","")&amp;IF($J$8=Condiciones_RSD!F49,"|"&amp;$H$8&amp;"| ","")&amp;IF($J$9=Condiciones_RSD!F49,"|"&amp;$H$9&amp;"| ","")&amp;IF($J$10=Condiciones_RSD!F49,"|"&amp;$H$10&amp;"| ","")&amp;IF($J$11=Condiciones_RSD!F49,"|"&amp;$H$11&amp;"| ","")&amp;IF($J$12=Condiciones_RSD!F49,"|"&amp;$H$12&amp;"| ","")&amp;IF($J$13=Condiciones_RSD!F49,"|"&amp;$H$13&amp;"| ","")&amp;IF($J$14=Condiciones_RSD!F49,"|"&amp;$H$14&amp;"| ","")&amp;IF($J$15=Condiciones_RSD!F49,"|"&amp;$H$15&amp;"| ","")&amp;IF($J$16=Condiciones_RSD!F49,"|"&amp;$H$16&amp;"| ","")&amp;IF($J$17=Condiciones_RSD!F49,"|"&amp;$H$17&amp;"| ","")&amp;IF($J$18=Condiciones_RSD!F49,"|"&amp;$H$18&amp;"| ","")&amp;IF($J$19=Condiciones_RSD!F49,"|"&amp;$H$19&amp;"| ","")&amp;IF($J$20=Condiciones_RSD!F49,"|"&amp;$H$20&amp;"| ","")&amp;IF($J$21=Condiciones_RSD!F49,"|"&amp;$H$21&amp;"| ","")&amp;IF($J$22=Condiciones_RSD!F49,"|"&amp;$H$22&amp;"| ","")&amp;IF($J$23=Condiciones_RSD!F49,"|"&amp;$H$23&amp;"| ","")&amp;IF($J$24=Condiciones_RSD!F49,"|"&amp;$H$24&amp;"| ","")&amp;IF($J$25=Condiciones_RSD!F49,"|"&amp;$H$25&amp;"|","")</f>
        <v xml:space="preserve">|ADM-SD1| </v>
      </c>
      <c r="O16" s="200" t="str">
        <f>IF($J$6=Condiciones_RSD!G49,"|"&amp;$H$6&amp;"| ","")&amp;IF($J$7=Condiciones_RSD!G49,"|"&amp;$H$7&amp;"| ","")&amp;IF($J$8=Condiciones_RSD!G49,"|"&amp;$H$8&amp;"| ","")&amp;IF($J$9=Condiciones_RSD!G49,"|"&amp;$H$9&amp;"| ","")&amp;IF($J$10=Condiciones_RSD!G49,"|"&amp;$H$10&amp;"| ","")&amp;IF($J$11=Condiciones_RSD!G49,"|"&amp;$H$11&amp;"| ","")&amp;IF($J$12=Condiciones_RSD!G49,"|"&amp;$H$12&amp;"| ","")&amp;IF($J$13=Condiciones_RSD!G49,"|"&amp;$H$13&amp;"| ","")&amp;IF($J$14=Condiciones_RSD!G49,"|"&amp;$H$14&amp;"| ","")&amp;IF($J$15=Condiciones_RSD!G49,"|"&amp;$H$15&amp;"| ","")&amp;IF($J$16=Condiciones_RSD!G49,"|"&amp;$H$16&amp;"| ","")&amp;IF($J$17=Condiciones_RSD!G49,"|"&amp;$H$17&amp;"| ","")&amp;IF($J$18=Condiciones_RSD!G49,"|"&amp;$H$18&amp;"| ","")&amp;IF($J$19=Condiciones_RSD!G49,"|"&amp;$H$19&amp;"| ","")&amp;IF($J$20=Condiciones_RSD!G49,"|"&amp;$H$20&amp;"| ","")&amp;IF($J$21=Condiciones_RSD!G49,"|"&amp;$H$21&amp;"| ","")&amp;IF($J$22=Condiciones_RSD!G49,"|"&amp;$H$22&amp;"| ","")&amp;IF($J$23=Condiciones_RSD!G49,"|"&amp;$H$23&amp;"| ","")&amp;IF($J$24=Condiciones_RSD!G49,"|"&amp;$H$24&amp;"| ","")&amp;IF($J$25=Condiciones_RSD!G49,"|"&amp;$H$25&amp;"|","")</f>
        <v/>
      </c>
      <c r="P16" s="198" t="str">
        <f>IF($J$6=Condiciones_RSD!H49,"|"&amp;$H$6&amp;"| ","")&amp;IF($J$7=Condiciones_RSD!H49,"|"&amp;$H$7&amp;"| ","")&amp;IF($J$8=Condiciones_RSD!H49,"|"&amp;$H$8&amp;"| ","")&amp;IF($J$9=Condiciones_RSD!H49,"|"&amp;$H$9&amp;"| ","")&amp;IF($J$10=Condiciones_RSD!H49,"|"&amp;$H$10&amp;"| ","")&amp;IF($J$11=Condiciones_RSD!H49,"|"&amp;$H$11&amp;"| ","")&amp;IF($J$12=Condiciones_RSD!H49,"|"&amp;$H$12&amp;"| ","")&amp;IF($J$13=Condiciones_RSD!H49,"|"&amp;$H$13&amp;"| ","")&amp;IF($J$14=Condiciones_RSD!H49,"|"&amp;$H$14&amp;"| ","")&amp;IF($J$15=Condiciones_RSD!H49,"|"&amp;$H$15&amp;"| ","")&amp;IF($J$16=Condiciones_RSD!H49,"|"&amp;$H$16&amp;"| ","")&amp;IF($J$17=Condiciones_RSD!H49,"|"&amp;$H$17&amp;"| ","")&amp;IF($J$18=Condiciones_RSD!H49,"|"&amp;$H$18&amp;"| ","")&amp;IF($J$19=Condiciones_RSD!H49,"|"&amp;$H$19&amp;"| ","")&amp;IF($J$20=Condiciones_RSD!H49,"|"&amp;$H$20&amp;"| ","")&amp;IF($J$21=Condiciones_RSD!H49,"|"&amp;$H$21&amp;"| ","")&amp;IF($J$22=Condiciones_RSD!H49,"|"&amp;$H$22&amp;"| ","")&amp;IF($J$23=Condiciones_RSD!H49,"|"&amp;$H$23&amp;"| ","")&amp;IF($J$24=Condiciones_RSD!H49,"|"&amp;$H$24&amp;"| ","")&amp;IF($J$25=Condiciones_RSD!H49,"|"&amp;$H$25&amp;"|","")</f>
        <v xml:space="preserve">|APR-SD7| </v>
      </c>
      <c r="Q16" s="198" t="str">
        <f>IF($J$6=Condiciones_RSD!I49,"|"&amp;$H$6&amp;"| ","")&amp;IF($J$7=Condiciones_RSD!I49,"|"&amp;$H$7&amp;"| ","")&amp;IF($J$8=Condiciones_RSD!I49,"|"&amp;$H$8&amp;"| ","")&amp;IF($J$9=Condiciones_RSD!I49,"|"&amp;$H$9&amp;"| ","")&amp;IF($J$10=Condiciones_RSD!I49,"|"&amp;$H$10&amp;"| ","")&amp;IF($J$11=Condiciones_RSD!I49,"|"&amp;$H$11&amp;"| ","")&amp;IF($J$12=Condiciones_RSD!I49,"|"&amp;$H$12&amp;"| ","")&amp;IF($J$13=Condiciones_RSD!I49,"|"&amp;$H$13&amp;"| ","")&amp;IF($J$14=Condiciones_RSD!I49,"|"&amp;$H$14&amp;"| ","")&amp;IF($J$15=Condiciones_RSD!I49,"|"&amp;$H$15&amp;"| ","")&amp;IF($J$16=Condiciones_RSD!I49,"|"&amp;$H$16&amp;"| ","")&amp;IF($J$17=Condiciones_RSD!I49,"|"&amp;$H$17&amp;"| ","")&amp;IF($J$18=Condiciones_RSD!I49,"|"&amp;$H$18&amp;"| ","")&amp;IF($J$19=Condiciones_RSD!I49,"|"&amp;$H$19&amp;"| ","")&amp;IF($J$20=Condiciones_RSD!I49,"|"&amp;$H$20&amp;"| ","")&amp;IF($J$21=Condiciones_RSD!I49,"|"&amp;$H$21&amp;"| ","")&amp;IF($J$22=Condiciones_RSD!I49,"|"&amp;$H$22&amp;"| ","")&amp;IF($J$23=Condiciones_RSD!I49,"|"&amp;$H$23&amp;"| ","")&amp;IF($J$24=Condiciones_RSD!I49,"|"&amp;$H$24&amp;"| ","")&amp;IF($J$25=Condiciones_RSD!I49,"|"&amp;$H$25&amp;"|","")</f>
        <v xml:space="preserve">|APR-SD6| |COM-SD1| |COM-SD15| </v>
      </c>
      <c r="R16" s="199" t="str">
        <f>IF($J$6=Condiciones_RSD!J49,"|"&amp;$H$6&amp;"| ","")&amp;IF($J$7=Condiciones_RSD!J49,"|"&amp;$H$7&amp;"| ","")&amp;IF($J$8=Condiciones_RSD!J49,"|"&amp;$H$8&amp;"| ","")&amp;IF($J$9=Condiciones_RSD!J49,"|"&amp;$H$9&amp;"| ","")&amp;IF($J$10=Condiciones_RSD!J49,"|"&amp;$H$10&amp;"| ","")&amp;IF($J$11=Condiciones_RSD!J49,"|"&amp;$H$11&amp;"| ","")&amp;IF($J$12=Condiciones_RSD!J49,"|"&amp;$H$12&amp;"| ","")&amp;IF($J$13=Condiciones_RSD!J49,"|"&amp;$H$13&amp;"| ","")&amp;IF($J$14=Condiciones_RSD!J49,"|"&amp;$H$14&amp;"| ","")&amp;IF($J$15=Condiciones_RSD!J49,"|"&amp;$H$15&amp;"| ","")&amp;IF($J$16=Condiciones_RSD!J49,"|"&amp;$H$16&amp;"| ","")&amp;IF($J$17=Condiciones_RSD!J49,"|"&amp;$H$17&amp;"| ","")&amp;IF($J$18=Condiciones_RSD!J49,"|"&amp;$H$18&amp;"| ","")&amp;IF($J$19=Condiciones_RSD!J49,"|"&amp;$H$19&amp;"| ","")&amp;IF($J$20=Condiciones_RSD!J49,"|"&amp;$H$20&amp;"| ","")&amp;IF($J$21=Condiciones_RSD!J49,"|"&amp;$H$21&amp;"| ","")&amp;IF($J$22=Condiciones_RSD!J49,"|"&amp;$H$22&amp;"| ","")&amp;IF($J$23=Condiciones_RSD!J49,"|"&amp;$H$23&amp;"| ","")&amp;IF($J$24=Condiciones_RSD!J49,"|"&amp;$H$24&amp;"| ","")&amp;IF($J$25=Condiciones_RSD!J49,"|"&amp;$H$25&amp;"|","")</f>
        <v/>
      </c>
      <c r="Y16" s="115" t="s">
        <v>67</v>
      </c>
    </row>
    <row r="17" spans="1:25" ht="14.45" customHeight="1" x14ac:dyDescent="0.25">
      <c r="A17" s="203" t="str">
        <f>R_S_Digital[[#This Row],[Proceso]]</f>
        <v>Direccionamiento estratégico</v>
      </c>
      <c r="B17" s="222" t="str">
        <f>R_S_Digital[[#This Row],[Código Riesgo]]</f>
        <v>DIR-GP1</v>
      </c>
      <c r="C17" s="204" t="e">
        <f>#REF!</f>
        <v>#REF!</v>
      </c>
      <c r="D17" s="204" t="e">
        <f>#REF!</f>
        <v>#REF!</v>
      </c>
      <c r="E17" s="205" t="str">
        <f>R_S_Digital[[#This Row],[Severidad inherente]]</f>
        <v>MODERADO</v>
      </c>
      <c r="F17" s="205" t="str">
        <f>R_S_Digital[[#This Row],[Severidad residual]]</f>
        <v>MODERADO</v>
      </c>
      <c r="G17" s="182"/>
      <c r="H17" s="186" t="s">
        <v>634</v>
      </c>
      <c r="I17" s="221">
        <v>10</v>
      </c>
      <c r="J17" s="221">
        <v>10</v>
      </c>
      <c r="L17" s="355"/>
      <c r="M17" s="115" t="s">
        <v>435</v>
      </c>
      <c r="N17" s="200" t="str">
        <f>IF($J$6=Condiciones_RSD!F50,"|"&amp;$H$6&amp;"| ","")&amp;IF($J$7=Condiciones_RSD!F50,"|"&amp;$H$7&amp;"| ","")&amp;IF($J$8=Condiciones_RSD!F50,"|"&amp;$H$8&amp;"| ","")&amp;IF($J$9=Condiciones_RSD!F50,"|"&amp;$H$9&amp;"| ","")&amp;IF($J$10=Condiciones_RSD!F50,"|"&amp;$H$10&amp;"| ","")&amp;IF($J$11=Condiciones_RSD!F50,"|"&amp;$H$11&amp;"| ","")&amp;IF($J$12=Condiciones_RSD!F50,"|"&amp;$H$12&amp;"| ","")&amp;IF($J$13=Condiciones_RSD!F50,"|"&amp;$H$13&amp;"| ","")&amp;IF($J$14=Condiciones_RSD!F50,"|"&amp;$H$14&amp;"| ","")&amp;IF($J$15=Condiciones_RSD!F50,"|"&amp;$H$15&amp;"| ","")&amp;IF($J$16=Condiciones_RSD!F50,"|"&amp;$H$16&amp;"| ","")&amp;IF($J$17=Condiciones_RSD!F50,"|"&amp;$H$17&amp;"| ","")&amp;IF($J$18=Condiciones_RSD!F50,"|"&amp;$H$18&amp;"| ","")&amp;IF($J$19=Condiciones_RSD!F50,"|"&amp;$H$19&amp;"| ","")&amp;IF($J$20=Condiciones_RSD!F50,"|"&amp;$H$20&amp;"| ","")&amp;IF($J$21=Condiciones_RSD!F50,"|"&amp;$H$21&amp;"| ","")&amp;IF($J$22=Condiciones_RSD!F50,"|"&amp;$H$22&amp;"| ","")&amp;IF($J$23=Condiciones_RSD!F50,"|"&amp;$H$23&amp;"| ","")&amp;IF($J$24=Condiciones_RSD!F50,"|"&amp;$H$24&amp;"| ","")&amp;IF($J$25=Condiciones_RSD!F50,"|"&amp;$H$25&amp;"|","")</f>
        <v/>
      </c>
      <c r="O17" s="200" t="str">
        <f>IF($J$6=Condiciones_RSD!G50,"|"&amp;$H$6&amp;"| ","")&amp;IF($J$7=Condiciones_RSD!G50,"|"&amp;$H$7&amp;"| ","")&amp;IF($J$8=Condiciones_RSD!G50,"|"&amp;$H$8&amp;"| ","")&amp;IF($J$9=Condiciones_RSD!G50,"|"&amp;$H$9&amp;"| ","")&amp;IF($J$10=Condiciones_RSD!G50,"|"&amp;$H$10&amp;"| ","")&amp;IF($J$11=Condiciones_RSD!G50,"|"&amp;$H$11&amp;"| ","")&amp;IF($J$12=Condiciones_RSD!G50,"|"&amp;$H$12&amp;"| ","")&amp;IF($J$13=Condiciones_RSD!G50,"|"&amp;$H$13&amp;"| ","")&amp;IF($J$14=Condiciones_RSD!G50,"|"&amp;$H$14&amp;"| ","")&amp;IF($J$15=Condiciones_RSD!G50,"|"&amp;$H$15&amp;"| ","")&amp;IF($J$16=Condiciones_RSD!G50,"|"&amp;$H$16&amp;"| ","")&amp;IF($J$17=Condiciones_RSD!G50,"|"&amp;$H$17&amp;"| ","")&amp;IF($J$18=Condiciones_RSD!G50,"|"&amp;$H$18&amp;"| ","")&amp;IF($J$19=Condiciones_RSD!G50,"|"&amp;$H$19&amp;"| ","")&amp;IF($J$20=Condiciones_RSD!G50,"|"&amp;$H$20&amp;"| ","")&amp;IF($J$21=Condiciones_RSD!G50,"|"&amp;$H$21&amp;"| ","")&amp;IF($J$22=Condiciones_RSD!G50,"|"&amp;$H$22&amp;"| ","")&amp;IF($J$23=Condiciones_RSD!G50,"|"&amp;$H$23&amp;"| ","")&amp;IF($J$24=Condiciones_RSD!G50,"|"&amp;$H$24&amp;"| ","")&amp;IF($J$25=Condiciones_RSD!G50,"|"&amp;$H$25&amp;"|","")</f>
        <v xml:space="preserve">|ADQ-SD-1| </v>
      </c>
      <c r="P17" s="200" t="str">
        <f>IF($J$6=Condiciones_RSD!H50,"|"&amp;$H$6&amp;"| ","")&amp;IF($J$7=Condiciones_RSD!H50,"|"&amp;$H$7&amp;"| ","")&amp;IF($J$8=Condiciones_RSD!H50,"|"&amp;$H$8&amp;"| ","")&amp;IF($J$9=Condiciones_RSD!H50,"|"&amp;$H$9&amp;"| ","")&amp;IF($J$10=Condiciones_RSD!H50,"|"&amp;$H$10&amp;"| ","")&amp;IF($J$11=Condiciones_RSD!H50,"|"&amp;$H$11&amp;"| ","")&amp;IF($J$12=Condiciones_RSD!H50,"|"&amp;$H$12&amp;"| ","")&amp;IF($J$13=Condiciones_RSD!H50,"|"&amp;$H$13&amp;"| ","")&amp;IF($J$14=Condiciones_RSD!H50,"|"&amp;$H$14&amp;"| ","")&amp;IF($J$15=Condiciones_RSD!H50,"|"&amp;$H$15&amp;"| ","")&amp;IF($J$16=Condiciones_RSD!H50,"|"&amp;$H$16&amp;"| ","")&amp;IF($J$17=Condiciones_RSD!H50,"|"&amp;$H$17&amp;"| ","")&amp;IF($J$18=Condiciones_RSD!H50,"|"&amp;$H$18&amp;"| ","")&amp;IF($J$19=Condiciones_RSD!H50,"|"&amp;$H$19&amp;"| ","")&amp;IF($J$20=Condiciones_RSD!H50,"|"&amp;$H$20&amp;"| ","")&amp;IF($J$21=Condiciones_RSD!H50,"|"&amp;$H$21&amp;"| ","")&amp;IF($J$22=Condiciones_RSD!H50,"|"&amp;$H$22&amp;"| ","")&amp;IF($J$23=Condiciones_RSD!H50,"|"&amp;$H$23&amp;"| ","")&amp;IF($J$24=Condiciones_RSD!H50,"|"&amp;$H$24&amp;"| ","")&amp;IF($J$25=Condiciones_RSD!H50,"|"&amp;$H$25&amp;"|","")</f>
        <v/>
      </c>
      <c r="Q17" s="198" t="str">
        <f>IF($J$6=Condiciones_RSD!I50,"|"&amp;$H$6&amp;"| ","")&amp;IF($J$7=Condiciones_RSD!I50,"|"&amp;$H$7&amp;"| ","")&amp;IF($J$8=Condiciones_RSD!I50,"|"&amp;$H$8&amp;"| ","")&amp;IF($J$9=Condiciones_RSD!I50,"|"&amp;$H$9&amp;"| ","")&amp;IF($J$10=Condiciones_RSD!I50,"|"&amp;$H$10&amp;"| ","")&amp;IF($J$11=Condiciones_RSD!I50,"|"&amp;$H$11&amp;"| ","")&amp;IF($J$12=Condiciones_RSD!I50,"|"&amp;$H$12&amp;"| ","")&amp;IF($J$13=Condiciones_RSD!I50,"|"&amp;$H$13&amp;"| ","")&amp;IF($J$14=Condiciones_RSD!I50,"|"&amp;$H$14&amp;"| ","")&amp;IF($J$15=Condiciones_RSD!I50,"|"&amp;$H$15&amp;"| ","")&amp;IF($J$16=Condiciones_RSD!I50,"|"&amp;$H$16&amp;"| ","")&amp;IF($J$17=Condiciones_RSD!I50,"|"&amp;$H$17&amp;"| ","")&amp;IF($J$18=Condiciones_RSD!I50,"|"&amp;$H$18&amp;"| ","")&amp;IF($J$19=Condiciones_RSD!I50,"|"&amp;$H$19&amp;"| ","")&amp;IF($J$20=Condiciones_RSD!I50,"|"&amp;$H$20&amp;"| ","")&amp;IF($J$21=Condiciones_RSD!I50,"|"&amp;$H$21&amp;"| ","")&amp;IF($J$22=Condiciones_RSD!I50,"|"&amp;$H$22&amp;"| ","")&amp;IF($J$23=Condiciones_RSD!I50,"|"&amp;$H$23&amp;"| ","")&amp;IF($J$24=Condiciones_RSD!I50,"|"&amp;$H$24&amp;"| ","")&amp;IF($J$25=Condiciones_RSD!I50,"|"&amp;$H$25&amp;"|","")</f>
        <v/>
      </c>
      <c r="R17" s="199" t="str">
        <f>IF($J$6=Condiciones_RSD!J50,"|"&amp;$H$6&amp;"| ","")&amp;IF($J$7=Condiciones_RSD!J50,"|"&amp;$H$7&amp;"| ","")&amp;IF($J$8=Condiciones_RSD!J50,"|"&amp;$H$8&amp;"| ","")&amp;IF($J$9=Condiciones_RSD!J50,"|"&amp;$H$9&amp;"| ","")&amp;IF($J$10=Condiciones_RSD!J50,"|"&amp;$H$10&amp;"| ","")&amp;IF($J$11=Condiciones_RSD!J50,"|"&amp;$H$11&amp;"| ","")&amp;IF($J$12=Condiciones_RSD!J50,"|"&amp;$H$12&amp;"| ","")&amp;IF($J$13=Condiciones_RSD!J50,"|"&amp;$H$13&amp;"| ","")&amp;IF($J$14=Condiciones_RSD!J50,"|"&amp;$H$14&amp;"| ","")&amp;IF($J$15=Condiciones_RSD!J50,"|"&amp;$H$15&amp;"| ","")&amp;IF($J$16=Condiciones_RSD!J50,"|"&amp;$H$16&amp;"| ","")&amp;IF($J$17=Condiciones_RSD!J50,"|"&amp;$H$17&amp;"| ","")&amp;IF($J$18=Condiciones_RSD!J50,"|"&amp;$H$18&amp;"| ","")&amp;IF($J$19=Condiciones_RSD!J50,"|"&amp;$H$19&amp;"| ","")&amp;IF($J$20=Condiciones_RSD!J50,"|"&amp;$H$20&amp;"| ","")&amp;IF($J$21=Condiciones_RSD!J50,"|"&amp;$H$21&amp;"| ","")&amp;IF($J$22=Condiciones_RSD!J50,"|"&amp;$H$22&amp;"| ","")&amp;IF($J$23=Condiciones_RSD!J50,"|"&amp;$H$23&amp;"| ","")&amp;IF($J$24=Condiciones_RSD!J50,"|"&amp;$H$24&amp;"| ","")&amp;IF($J$25=Condiciones_RSD!J50,"|"&amp;$H$25&amp;"|","")</f>
        <v/>
      </c>
      <c r="Y17" s="103" t="s">
        <v>97</v>
      </c>
    </row>
    <row r="18" spans="1:25" ht="14.45" customHeight="1" x14ac:dyDescent="0.25">
      <c r="A18" s="203" t="str">
        <f>R_S_Digital[[#This Row],[Proceso]]</f>
        <v>Direccionamiento estratégico</v>
      </c>
      <c r="B18" s="222" t="str">
        <f>R_S_Digital[[#This Row],[Código Riesgo]]</f>
        <v>DIR-SAF1</v>
      </c>
      <c r="C18" s="204" t="e">
        <f>#REF!</f>
        <v>#REF!</v>
      </c>
      <c r="D18" s="204" t="e">
        <f>#REF!</f>
        <v>#REF!</v>
      </c>
      <c r="E18" s="205" t="str">
        <f>R_S_Digital[[#This Row],[Severidad inherente]]</f>
        <v>MODERADO</v>
      </c>
      <c r="F18" s="205" t="str">
        <f>R_S_Digital[[#This Row],[Severidad residual]]</f>
        <v>BAJO</v>
      </c>
      <c r="G18" s="182"/>
      <c r="H18" s="186" t="s">
        <v>355</v>
      </c>
      <c r="I18" s="221">
        <v>24</v>
      </c>
      <c r="J18" s="221">
        <v>19</v>
      </c>
      <c r="L18" s="355"/>
      <c r="M18" s="194" t="s">
        <v>437</v>
      </c>
      <c r="N18" s="201" t="str">
        <f>IF($J$6=Condiciones_RSD!F51,"|"&amp;$H$6&amp;"| ","")&amp;IF($J$7=Condiciones_RSD!F51,"|"&amp;$H$7&amp;"| ","")&amp;IF($J$8=Condiciones_RSD!F51,"|"&amp;$H$8&amp;"| ","")&amp;IF($J$9=Condiciones_RSD!F51,"|"&amp;$H$9&amp;"| ","")&amp;IF($J$10=Condiciones_RSD!F51,"|"&amp;$H$10&amp;"| ","")&amp;IF($J$11=Condiciones_RSD!F51,"|"&amp;$H$11&amp;"| ","")&amp;IF($J$12=Condiciones_RSD!F51,"|"&amp;$H$12&amp;"| ","")&amp;IF($J$13=Condiciones_RSD!F51,"|"&amp;$H$13&amp;"| ","")&amp;IF($J$14=Condiciones_RSD!F51,"|"&amp;$H$14&amp;"| ","")&amp;IF($J$15=Condiciones_RSD!F51,"|"&amp;$H$15&amp;"| ","")&amp;IF($J$16=Condiciones_RSD!F51,"|"&amp;$H$16&amp;"| ","")&amp;IF($J$17=Condiciones_RSD!F51,"|"&amp;$H$17&amp;"| ","")&amp;IF($J$18=Condiciones_RSD!F51,"|"&amp;$H$18&amp;"| ","")&amp;IF($J$19=Condiciones_RSD!F51,"|"&amp;$H$19&amp;"| ","")&amp;IF($J$20=Condiciones_RSD!F51,"|"&amp;$H$20&amp;"| ","")&amp;IF($J$21=Condiciones_RSD!F51,"|"&amp;$H$21&amp;"| ","")&amp;IF($J$22=Condiciones_RSD!F51,"|"&amp;$H$22&amp;"| ","")&amp;IF($J$23=Condiciones_RSD!F51,"|"&amp;$H$23&amp;"| ","")&amp;IF($J$24=Condiciones_RSD!F51,"|"&amp;$H$24&amp;"| ","")&amp;IF($J$25=Condiciones_RSD!F51,"|"&amp;$H$25&amp;"|","")</f>
        <v/>
      </c>
      <c r="O18" s="200" t="str">
        <f>IF($J$6=Condiciones_RSD!G51,"|"&amp;$H$6&amp;"| ","")&amp;IF($J$7=Condiciones_RSD!G51,"|"&amp;$H$7&amp;"| ","")&amp;IF($J$8=Condiciones_RSD!G51,"|"&amp;$H$8&amp;"| ","")&amp;IF($J$9=Condiciones_RSD!G51,"|"&amp;$H$9&amp;"| ","")&amp;IF($J$10=Condiciones_RSD!G51,"|"&amp;$H$10&amp;"| ","")&amp;IF($J$11=Condiciones_RSD!G51,"|"&amp;$H$11&amp;"| ","")&amp;IF($J$12=Condiciones_RSD!G51,"|"&amp;$H$12&amp;"| ","")&amp;IF($J$13=Condiciones_RSD!G51,"|"&amp;$H$13&amp;"| ","")&amp;IF($J$14=Condiciones_RSD!G51,"|"&amp;$H$14&amp;"| ","")&amp;IF($J$15=Condiciones_RSD!G51,"|"&amp;$H$15&amp;"| ","")&amp;IF($J$16=Condiciones_RSD!G51,"|"&amp;$H$16&amp;"| ","")&amp;IF($J$17=Condiciones_RSD!G51,"|"&amp;$H$17&amp;"| ","")&amp;IF($J$18=Condiciones_RSD!G51,"|"&amp;$H$18&amp;"| ","")&amp;IF($J$19=Condiciones_RSD!G51,"|"&amp;$H$19&amp;"| ","")&amp;IF($J$20=Condiciones_RSD!G51,"|"&amp;$H$20&amp;"| ","")&amp;IF($J$21=Condiciones_RSD!G51,"|"&amp;$H$21&amp;"| ","")&amp;IF($J$22=Condiciones_RSD!G51,"|"&amp;$H$22&amp;"| ","")&amp;IF($J$23=Condiciones_RSD!G51,"|"&amp;$H$23&amp;"| ","")&amp;IF($J$24=Condiciones_RSD!G51,"|"&amp;$H$24&amp;"| ","")&amp;IF($J$25=Condiciones_RSD!G51,"|"&amp;$H$25&amp;"|","")</f>
        <v xml:space="preserve">|ALI-SD1| </v>
      </c>
      <c r="P18" s="200" t="str">
        <f>IF($J$6=Condiciones_RSD!H51,"|"&amp;$H$6&amp;"| ","")&amp;IF($J$7=Condiciones_RSD!H51,"|"&amp;$H$7&amp;"| ","")&amp;IF($J$8=Condiciones_RSD!H51,"|"&amp;$H$8&amp;"| ","")&amp;IF($J$9=Condiciones_RSD!H51,"|"&amp;$H$9&amp;"| ","")&amp;IF($J$10=Condiciones_RSD!H51,"|"&amp;$H$10&amp;"| ","")&amp;IF($J$11=Condiciones_RSD!H51,"|"&amp;$H$11&amp;"| ","")&amp;IF($J$12=Condiciones_RSD!H51,"|"&amp;$H$12&amp;"| ","")&amp;IF($J$13=Condiciones_RSD!H51,"|"&amp;$H$13&amp;"| ","")&amp;IF($J$14=Condiciones_RSD!H51,"|"&amp;$H$14&amp;"| ","")&amp;IF($J$15=Condiciones_RSD!H51,"|"&amp;$H$15&amp;"| ","")&amp;IF($J$16=Condiciones_RSD!H51,"|"&amp;$H$16&amp;"| ","")&amp;IF($J$17=Condiciones_RSD!H51,"|"&amp;$H$17&amp;"| ","")&amp;IF($J$18=Condiciones_RSD!H51,"|"&amp;$H$18&amp;"| ","")&amp;IF($J$19=Condiciones_RSD!H51,"|"&amp;$H$19&amp;"| ","")&amp;IF($J$20=Condiciones_RSD!H51,"|"&amp;$H$20&amp;"| ","")&amp;IF($J$21=Condiciones_RSD!H51,"|"&amp;$H$21&amp;"| ","")&amp;IF($J$22=Condiciones_RSD!H51,"|"&amp;$H$22&amp;"| ","")&amp;IF($J$23=Condiciones_RSD!H51,"|"&amp;$H$23&amp;"| ","")&amp;IF($J$24=Condiciones_RSD!H51,"|"&amp;$H$24&amp;"| ","")&amp;IF($J$25=Condiciones_RSD!H51,"|"&amp;$H$25&amp;"|","")</f>
        <v xml:space="preserve">|APR-SD1| |APR-SD2| |APR-SD8| </v>
      </c>
      <c r="Q18" s="198" t="str">
        <f>IF($J$6=Condiciones_RSD!I51,"|"&amp;$H$6&amp;"| ","")&amp;IF($J$7=Condiciones_RSD!I51,"|"&amp;$H$7&amp;"| ","")&amp;IF($J$8=Condiciones_RSD!I51,"|"&amp;$H$8&amp;"| ","")&amp;IF($J$9=Condiciones_RSD!I51,"|"&amp;$H$9&amp;"| ","")&amp;IF($J$10=Condiciones_RSD!I51,"|"&amp;$H$10&amp;"| ","")&amp;IF($J$11=Condiciones_RSD!I51,"|"&amp;$H$11&amp;"| ","")&amp;IF($J$12=Condiciones_RSD!I51,"|"&amp;$H$12&amp;"| ","")&amp;IF($J$13=Condiciones_RSD!I51,"|"&amp;$H$13&amp;"| ","")&amp;IF($J$14=Condiciones_RSD!I51,"|"&amp;$H$14&amp;"| ","")&amp;IF($J$15=Condiciones_RSD!I51,"|"&amp;$H$15&amp;"| ","")&amp;IF($J$16=Condiciones_RSD!I51,"|"&amp;$H$16&amp;"| ","")&amp;IF($J$17=Condiciones_RSD!I51,"|"&amp;$H$17&amp;"| ","")&amp;IF($J$18=Condiciones_RSD!I51,"|"&amp;$H$18&amp;"| ","")&amp;IF($J$19=Condiciones_RSD!I51,"|"&amp;$H$19&amp;"| ","")&amp;IF($J$20=Condiciones_RSD!I51,"|"&amp;$H$20&amp;"| ","")&amp;IF($J$21=Condiciones_RSD!I51,"|"&amp;$H$21&amp;"| ","")&amp;IF($J$22=Condiciones_RSD!I51,"|"&amp;$H$22&amp;"| ","")&amp;IF($J$23=Condiciones_RSD!I51,"|"&amp;$H$23&amp;"| ","")&amp;IF($J$24=Condiciones_RSD!I51,"|"&amp;$H$24&amp;"| ","")&amp;IF($J$25=Condiciones_RSD!I51,"|"&amp;$H$25&amp;"|","")</f>
        <v xml:space="preserve">|APR-SD3| |APR-SD4| |APR-SD5| </v>
      </c>
      <c r="R18" s="199" t="str">
        <f>IF($J$6=Condiciones_RSD!J51,"|"&amp;$H$6&amp;"| ","")&amp;IF($J$7=Condiciones_RSD!J51,"|"&amp;$H$7&amp;"| ","")&amp;IF($J$8=Condiciones_RSD!J51,"|"&amp;$H$8&amp;"| ","")&amp;IF($J$9=Condiciones_RSD!J51,"|"&amp;$H$9&amp;"| ","")&amp;IF($J$10=Condiciones_RSD!J51,"|"&amp;$H$10&amp;"| ","")&amp;IF($J$11=Condiciones_RSD!J51,"|"&amp;$H$11&amp;"| ","")&amp;IF($J$12=Condiciones_RSD!J51,"|"&amp;$H$12&amp;"| ","")&amp;IF($J$13=Condiciones_RSD!J51,"|"&amp;$H$13&amp;"| ","")&amp;IF($J$14=Condiciones_RSD!J51,"|"&amp;$H$14&amp;"| ","")&amp;IF($J$15=Condiciones_RSD!J51,"|"&amp;$H$15&amp;"| ","")&amp;IF($J$16=Condiciones_RSD!J51,"|"&amp;$H$16&amp;"| ","")&amp;IF($J$17=Condiciones_RSD!J51,"|"&amp;$H$17&amp;"| ","")&amp;IF($J$18=Condiciones_RSD!J51,"|"&amp;$H$18&amp;"| ","")&amp;IF($J$19=Condiciones_RSD!J51,"|"&amp;$H$19&amp;"| ","")&amp;IF($J$20=Condiciones_RSD!J51,"|"&amp;$H$20&amp;"| ","")&amp;IF($J$21=Condiciones_RSD!J51,"|"&amp;$H$21&amp;"| ","")&amp;IF($J$22=Condiciones_RSD!J51,"|"&amp;$H$22&amp;"| ","")&amp;IF($J$23=Condiciones_RSD!J51,"|"&amp;$H$23&amp;"| ","")&amp;IF($J$24=Condiciones_RSD!J51,"|"&amp;$H$24&amp;"| ","")&amp;IF($J$25=Condiciones_RSD!J51,"|"&amp;$H$25&amp;"|","")</f>
        <v/>
      </c>
      <c r="Y18" s="187" t="s">
        <v>62</v>
      </c>
    </row>
    <row r="19" spans="1:25" ht="14.45" customHeight="1" x14ac:dyDescent="0.25">
      <c r="A19" s="203" t="str">
        <f>R_S_Digital[[#This Row],[Proceso]]</f>
        <v>Direccionamiento estratégico</v>
      </c>
      <c r="B19" s="222" t="str">
        <f>R_S_Digital[[#This Row],[Código Riesgo]]</f>
        <v>DIR-SAF2</v>
      </c>
      <c r="C19" s="204" t="e">
        <f>#REF!</f>
        <v>#REF!</v>
      </c>
      <c r="D19" s="204" t="e">
        <f>#REF!</f>
        <v>#REF!</v>
      </c>
      <c r="E19" s="205" t="str">
        <f>R_S_Digital[[#This Row],[Severidad inherente]]</f>
        <v>BAJO</v>
      </c>
      <c r="F19" s="205" t="str">
        <f>R_S_Digital[[#This Row],[Severidad residual]]</f>
        <v>BAJO</v>
      </c>
      <c r="G19" s="182"/>
      <c r="H19" s="186" t="s">
        <v>635</v>
      </c>
      <c r="I19" s="221">
        <v>25</v>
      </c>
      <c r="J19" s="221">
        <v>20</v>
      </c>
      <c r="L19" s="355"/>
      <c r="M19" s="91" t="s">
        <v>441</v>
      </c>
      <c r="N19" s="201" t="str">
        <f>IF($J$6=Condiciones_RSD!F52,"|"&amp;$H$6&amp;"| ","")&amp;IF($J$7=Condiciones_RSD!F52,"|"&amp;$H$7&amp;"| ","")&amp;IF($J$8=Condiciones_RSD!F52,"|"&amp;$H$8&amp;"| ","")&amp;IF($J$9=Condiciones_RSD!F52,"|"&amp;$H$9&amp;"| ","")&amp;IF($J$10=Condiciones_RSD!F52,"|"&amp;$H$10&amp;"| ","")&amp;IF($J$11=Condiciones_RSD!F52,"|"&amp;$H$11&amp;"| ","")&amp;IF($J$12=Condiciones_RSD!F52,"|"&amp;$H$12&amp;"| ","")&amp;IF($J$13=Condiciones_RSD!F52,"|"&amp;$H$13&amp;"| ","")&amp;IF($J$14=Condiciones_RSD!F52,"|"&amp;$H$14&amp;"| ","")&amp;IF($J$15=Condiciones_RSD!F52,"|"&amp;$H$15&amp;"| ","")&amp;IF($J$16=Condiciones_RSD!F52,"|"&amp;$H$16&amp;"| ","")&amp;IF($J$17=Condiciones_RSD!F52,"|"&amp;$H$17&amp;"| ","")&amp;IF($J$18=Condiciones_RSD!F52,"|"&amp;$H$18&amp;"| ","")&amp;IF($J$19=Condiciones_RSD!F52,"|"&amp;$H$19&amp;"| ","")&amp;IF($J$20=Condiciones_RSD!F52,"|"&amp;$H$20&amp;"| ","")&amp;IF($J$21=Condiciones_RSD!F52,"|"&amp;$H$21&amp;"| ","")&amp;IF($J$22=Condiciones_RSD!F52,"|"&amp;$H$22&amp;"| ","")&amp;IF($J$23=Condiciones_RSD!F52,"|"&amp;$H$23&amp;"| ","")&amp;IF($J$24=Condiciones_RSD!F52,"|"&amp;$H$24&amp;"| ","")&amp;IF($J$25=Condiciones_RSD!F52,"|"&amp;$H$25&amp;"|","")</f>
        <v/>
      </c>
      <c r="O19" s="201" t="str">
        <f>IF($J$6=Condiciones_RSD!G52,"|"&amp;$H$6&amp;"| ","")&amp;IF($J$7=Condiciones_RSD!G52,"|"&amp;$H$7&amp;"| ","")&amp;IF($J$8=Condiciones_RSD!G52,"|"&amp;$H$8&amp;"| ","")&amp;IF($J$9=Condiciones_RSD!G52,"|"&amp;$H$9&amp;"| ","")&amp;IF($J$10=Condiciones_RSD!G52,"|"&amp;$H$10&amp;"| ","")&amp;IF($J$11=Condiciones_RSD!G52,"|"&amp;$H$11&amp;"| ","")&amp;IF($J$12=Condiciones_RSD!G52,"|"&amp;$H$12&amp;"| ","")&amp;IF($J$13=Condiciones_RSD!G52,"|"&amp;$H$13&amp;"| ","")&amp;IF($J$14=Condiciones_RSD!G52,"|"&amp;$H$14&amp;"| ","")&amp;IF($J$15=Condiciones_RSD!G52,"|"&amp;$H$15&amp;"| ","")&amp;IF($J$16=Condiciones_RSD!G52,"|"&amp;$H$16&amp;"| ","")&amp;IF($J$17=Condiciones_RSD!G52,"|"&amp;$H$17&amp;"| ","")&amp;IF($J$18=Condiciones_RSD!G52,"|"&amp;$H$18&amp;"| ","")&amp;IF($J$19=Condiciones_RSD!G52,"|"&amp;$H$19&amp;"| ","")&amp;IF($J$20=Condiciones_RSD!G52,"|"&amp;$H$20&amp;"| ","")&amp;IF($J$21=Condiciones_RSD!G52,"|"&amp;$H$21&amp;"| ","")&amp;IF($J$22=Condiciones_RSD!G52,"|"&amp;$H$22&amp;"| ","")&amp;IF($J$23=Condiciones_RSD!G52,"|"&amp;$H$23&amp;"| ","")&amp;IF($J$24=Condiciones_RSD!G52,"|"&amp;$H$24&amp;"| ","")&amp;IF($J$25=Condiciones_RSD!G52,"|"&amp;$H$25&amp;"|","")</f>
        <v/>
      </c>
      <c r="P19" s="200" t="str">
        <f>IF($J$6=Condiciones_RSD!H52,"|"&amp;$H$6&amp;"| ","")&amp;IF($J$7=Condiciones_RSD!H52,"|"&amp;$H$7&amp;"| ","")&amp;IF($J$8=Condiciones_RSD!H52,"|"&amp;$H$8&amp;"| ","")&amp;IF($J$9=Condiciones_RSD!H52,"|"&amp;$H$9&amp;"| ","")&amp;IF($J$10=Condiciones_RSD!H52,"|"&amp;$H$10&amp;"| ","")&amp;IF($J$11=Condiciones_RSD!H52,"|"&amp;$H$11&amp;"| ","")&amp;IF($J$12=Condiciones_RSD!H52,"|"&amp;$H$12&amp;"| ","")&amp;IF($J$13=Condiciones_RSD!H52,"|"&amp;$H$13&amp;"| ","")&amp;IF($J$14=Condiciones_RSD!H52,"|"&amp;$H$14&amp;"| ","")&amp;IF($J$15=Condiciones_RSD!H52,"|"&amp;$H$15&amp;"| ","")&amp;IF($J$16=Condiciones_RSD!H52,"|"&amp;$H$16&amp;"| ","")&amp;IF($J$17=Condiciones_RSD!H52,"|"&amp;$H$17&amp;"| ","")&amp;IF($J$18=Condiciones_RSD!H52,"|"&amp;$H$18&amp;"| ","")&amp;IF($J$19=Condiciones_RSD!H52,"|"&amp;$H$19&amp;"| ","")&amp;IF($J$20=Condiciones_RSD!H52,"|"&amp;$H$20&amp;"| ","")&amp;IF($J$21=Condiciones_RSD!H52,"|"&amp;$H$21&amp;"| ","")&amp;IF($J$22=Condiciones_RSD!H52,"|"&amp;$H$22&amp;"| ","")&amp;IF($J$23=Condiciones_RSD!H52,"|"&amp;$H$23&amp;"| ","")&amp;IF($J$24=Condiciones_RSD!H52,"|"&amp;$H$24&amp;"| ","")&amp;IF($J$25=Condiciones_RSD!H52,"|"&amp;$H$25&amp;"|","")</f>
        <v/>
      </c>
      <c r="Q19" s="198" t="str">
        <f>IF($J$6=Condiciones_RSD!I52,"|"&amp;$H$6&amp;"| ","")&amp;IF($J$7=Condiciones_RSD!I52,"|"&amp;$H$7&amp;"| ","")&amp;IF($J$8=Condiciones_RSD!I52,"|"&amp;$H$8&amp;"| ","")&amp;IF($J$9=Condiciones_RSD!I52,"|"&amp;$H$9&amp;"| ","")&amp;IF($J$10=Condiciones_RSD!I52,"|"&amp;$H$10&amp;"| ","")&amp;IF($J$11=Condiciones_RSD!I52,"|"&amp;$H$11&amp;"| ","")&amp;IF($J$12=Condiciones_RSD!I52,"|"&amp;$H$12&amp;"| ","")&amp;IF($J$13=Condiciones_RSD!I52,"|"&amp;$H$13&amp;"| ","")&amp;IF($J$14=Condiciones_RSD!I52,"|"&amp;$H$14&amp;"| ","")&amp;IF($J$15=Condiciones_RSD!I52,"|"&amp;$H$15&amp;"| ","")&amp;IF($J$16=Condiciones_RSD!I52,"|"&amp;$H$16&amp;"| ","")&amp;IF($J$17=Condiciones_RSD!I52,"|"&amp;$H$17&amp;"| ","")&amp;IF($J$18=Condiciones_RSD!I52,"|"&amp;$H$18&amp;"| ","")&amp;IF($J$19=Condiciones_RSD!I52,"|"&amp;$H$19&amp;"| ","")&amp;IF($J$20=Condiciones_RSD!I52,"|"&amp;$H$20&amp;"| ","")&amp;IF($J$21=Condiciones_RSD!I52,"|"&amp;$H$21&amp;"| ","")&amp;IF($J$22=Condiciones_RSD!I52,"|"&amp;$H$22&amp;"| ","")&amp;IF($J$23=Condiciones_RSD!I52,"|"&amp;$H$23&amp;"| ","")&amp;IF($J$24=Condiciones_RSD!I52,"|"&amp;$H$24&amp;"| ","")&amp;IF($J$25=Condiciones_RSD!I52,"|"&amp;$H$25&amp;"|","")</f>
        <v/>
      </c>
      <c r="R19" s="199" t="str">
        <f>IF($J$6=Condiciones_RSD!J52,"|"&amp;$H$6&amp;"| ","")&amp;IF($J$7=Condiciones_RSD!J52,"|"&amp;$H$7&amp;"| ","")&amp;IF($J$8=Condiciones_RSD!J52,"|"&amp;$H$8&amp;"| ","")&amp;IF($J$9=Condiciones_RSD!J52,"|"&amp;$H$9&amp;"| ","")&amp;IF($J$10=Condiciones_RSD!J52,"|"&amp;$H$10&amp;"| ","")&amp;IF($J$11=Condiciones_RSD!J52,"|"&amp;$H$11&amp;"| ","")&amp;IF($J$12=Condiciones_RSD!J52,"|"&amp;$H$12&amp;"| ","")&amp;IF($J$13=Condiciones_RSD!J52,"|"&amp;$H$13&amp;"| ","")&amp;IF($J$14=Condiciones_RSD!J52,"|"&amp;$H$14&amp;"| ","")&amp;IF($J$15=Condiciones_RSD!J52,"|"&amp;$H$15&amp;"| ","")&amp;IF($J$16=Condiciones_RSD!J52,"|"&amp;$H$16&amp;"| ","")&amp;IF($J$17=Condiciones_RSD!J52,"|"&amp;$H$17&amp;"| ","")&amp;IF($J$18=Condiciones_RSD!J52,"|"&amp;$H$18&amp;"| ","")&amp;IF($J$19=Condiciones_RSD!J52,"|"&amp;$H$19&amp;"| ","")&amp;IF($J$20=Condiciones_RSD!J52,"|"&amp;$H$20&amp;"| ","")&amp;IF($J$21=Condiciones_RSD!J52,"|"&amp;$H$21&amp;"| ","")&amp;IF($J$22=Condiciones_RSD!J52,"|"&amp;$H$22&amp;"| ","")&amp;IF($J$23=Condiciones_RSD!J52,"|"&amp;$H$23&amp;"| ","")&amp;IF($J$24=Condiciones_RSD!J52,"|"&amp;$H$24&amp;"| ","")&amp;IF($J$25=Condiciones_RSD!J52,"|"&amp;$H$25&amp;"|","")</f>
        <v/>
      </c>
    </row>
    <row r="20" spans="1:25" ht="30" x14ac:dyDescent="0.25">
      <c r="A20" s="203" t="str">
        <f>R_S_Digital[[#This Row],[Proceso]]</f>
        <v>Direccionamiento estratégico</v>
      </c>
      <c r="B20" s="222" t="str">
        <f>R_S_Digital[[#This Row],[Código Riesgo]]</f>
        <v>DIR-SAF3</v>
      </c>
      <c r="C20" s="204" t="e">
        <f>#REF!</f>
        <v>#REF!</v>
      </c>
      <c r="D20" s="204" t="e">
        <f>#REF!</f>
        <v>#REF!</v>
      </c>
      <c r="E20" s="205" t="str">
        <f>R_S_Digital[[#This Row],[Severidad inherente]]</f>
        <v>ALTO</v>
      </c>
      <c r="F20" s="205" t="str">
        <f>R_S_Digital[[#This Row],[Severidad residual]]</f>
        <v>ALTO</v>
      </c>
      <c r="H20" s="186" t="s">
        <v>636</v>
      </c>
      <c r="I20" s="221">
        <v>14</v>
      </c>
      <c r="J20" s="221">
        <v>14</v>
      </c>
      <c r="M20" s="117"/>
      <c r="N20" s="91" t="s">
        <v>442</v>
      </c>
      <c r="O20" s="194" t="s">
        <v>443</v>
      </c>
      <c r="P20" s="115" t="s">
        <v>67</v>
      </c>
      <c r="Q20" s="103" t="s">
        <v>444</v>
      </c>
      <c r="R20" s="187" t="s">
        <v>445</v>
      </c>
    </row>
    <row r="21" spans="1:25" ht="30" x14ac:dyDescent="0.25">
      <c r="A21" s="203" t="str">
        <f>R_S_Digital[[#This Row],[Proceso]]</f>
        <v>Direccionamiento estratégico</v>
      </c>
      <c r="B21" s="222" t="str">
        <f>R_S_Digital[[#This Row],[Código Riesgo]]</f>
        <v>DIR-SAF4</v>
      </c>
      <c r="C21" s="204" t="e">
        <f>#REF!</f>
        <v>#REF!</v>
      </c>
      <c r="D21" s="204" t="e">
        <f>#REF!</f>
        <v>#REF!</v>
      </c>
      <c r="E21" s="205" t="str">
        <f>R_S_Digital[[#This Row],[Severidad inherente]]</f>
        <v>ALTO</v>
      </c>
      <c r="F21" s="205" t="str">
        <f>R_S_Digital[[#This Row],[Severidad residual]]</f>
        <v>EXTREMO</v>
      </c>
      <c r="H21" s="186" t="s">
        <v>637</v>
      </c>
      <c r="I21" s="221">
        <v>20</v>
      </c>
      <c r="J21" s="221">
        <v>20</v>
      </c>
      <c r="N21" s="356" t="s">
        <v>31</v>
      </c>
      <c r="O21" s="356"/>
      <c r="P21" s="356"/>
      <c r="Q21" s="356"/>
      <c r="R21" s="356"/>
    </row>
    <row r="22" spans="1:25" ht="30" x14ac:dyDescent="0.25">
      <c r="A22" s="203" t="str">
        <f>R_S_Digital[[#This Row],[Proceso]]</f>
        <v>Direccionamiento estratégico</v>
      </c>
      <c r="B22" s="222" t="str">
        <f>R_S_Digital[[#This Row],[Código Riesgo]]</f>
        <v>DIR-GP2</v>
      </c>
      <c r="C22" s="204" t="e">
        <f>#REF!</f>
        <v>#REF!</v>
      </c>
      <c r="D22" s="204" t="e">
        <f>#REF!</f>
        <v>#REF!</v>
      </c>
      <c r="E22" s="205" t="str">
        <f>R_S_Digital[[#This Row],[Severidad inherente]]</f>
        <v>ALTO</v>
      </c>
      <c r="F22" s="205" t="str">
        <f>R_S_Digital[[#This Row],[Severidad residual]]</f>
        <v>EXTREMO</v>
      </c>
      <c r="H22" s="186" t="s">
        <v>638</v>
      </c>
      <c r="I22" s="221">
        <v>20</v>
      </c>
      <c r="J22" s="221">
        <v>20</v>
      </c>
    </row>
    <row r="23" spans="1:25" ht="30" x14ac:dyDescent="0.25">
      <c r="A23" s="79" t="str">
        <f>R_S_Digital[[#This Row],[Proceso]]</f>
        <v>Direccionamiento estratégico</v>
      </c>
      <c r="B23" s="185" t="str">
        <f>R_S_Digital[[#This Row],[Código Riesgo]]</f>
        <v>DIR-GP3</v>
      </c>
      <c r="C23" s="205" t="e">
        <f>#REF!</f>
        <v>#REF!</v>
      </c>
      <c r="D23" s="205" t="e">
        <f>#REF!</f>
        <v>#REF!</v>
      </c>
      <c r="E23" s="205" t="str">
        <f>R_S_Digital[[#This Row],[Severidad inherente]]</f>
        <v>MODERADO</v>
      </c>
      <c r="F23" s="205" t="str">
        <f>R_S_Digital[[#This Row],[Severidad residual]]</f>
        <v>EXTREMO</v>
      </c>
      <c r="H23" s="186" t="s">
        <v>639</v>
      </c>
      <c r="I23" s="221">
        <v>20</v>
      </c>
      <c r="J23" s="221">
        <v>20</v>
      </c>
      <c r="N23" s="125" t="s">
        <v>446</v>
      </c>
    </row>
    <row r="24" spans="1:25" ht="30" x14ac:dyDescent="0.25">
      <c r="A24" s="79" t="str">
        <f>R_S_Digital[[#This Row],[Proceso]]</f>
        <v>Direccionamiento estratégico</v>
      </c>
      <c r="B24" s="185" t="str">
        <f>R_S_Digital[[#This Row],[Código Riesgo]]</f>
        <v>DIR-GP4</v>
      </c>
      <c r="C24" s="205" t="e">
        <f>#REF!</f>
        <v>#REF!</v>
      </c>
      <c r="D24" s="205" t="e">
        <f>#REF!</f>
        <v>#REF!</v>
      </c>
      <c r="E24" s="205" t="str">
        <f>R_S_Digital[[#This Row],[Severidad inherente]]</f>
        <v>MODERADO</v>
      </c>
      <c r="F24" s="205" t="str">
        <f>R_S_Digital[[#This Row],[Severidad residual]]</f>
        <v>EXTREMO</v>
      </c>
      <c r="H24" s="186" t="s">
        <v>640</v>
      </c>
      <c r="I24" s="221">
        <v>24</v>
      </c>
      <c r="J24" s="221">
        <v>19</v>
      </c>
      <c r="N24" s="194" t="s">
        <v>170</v>
      </c>
    </row>
    <row r="25" spans="1:25" ht="30" x14ac:dyDescent="0.25">
      <c r="A25" s="203" t="str">
        <f>R_S_Digital[[#This Row],[Proceso]]</f>
        <v>Direccionamiento estratégico</v>
      </c>
      <c r="B25" s="222" t="str">
        <f>R_S_Digital[[#This Row],[Código Riesgo]]</f>
        <v>DIR-GP5</v>
      </c>
      <c r="C25" s="204" t="e">
        <f>#REF!</f>
        <v>#REF!</v>
      </c>
      <c r="D25" s="204" t="e">
        <f>#REF!</f>
        <v>#REF!</v>
      </c>
      <c r="E25" s="205" t="str">
        <f>R_S_Digital[[#This Row],[Severidad inherente]]</f>
        <v>MODERADO</v>
      </c>
      <c r="F25" s="205" t="str">
        <f>R_S_Digital[[#This Row],[Severidad residual]]</f>
        <v>EXTREMO</v>
      </c>
      <c r="H25" s="186" t="s">
        <v>641</v>
      </c>
      <c r="I25" s="221">
        <v>25</v>
      </c>
      <c r="J25" s="221">
        <v>20</v>
      </c>
      <c r="N25" s="115" t="s">
        <v>67</v>
      </c>
    </row>
    <row r="26" spans="1:25" ht="16.5" x14ac:dyDescent="0.25">
      <c r="A26" s="203" t="str">
        <f>R_S_Digital[[#This Row],[Proceso]]</f>
        <v>Formación</v>
      </c>
      <c r="B26" s="222" t="str">
        <f>R_S_Digital[[#This Row],[Código Riesgo]]</f>
        <v>FOR-BE1</v>
      </c>
      <c r="C26" s="204" t="e">
        <f>#REF!</f>
        <v>#REF!</v>
      </c>
      <c r="D26" s="204" t="e">
        <f>#REF!</f>
        <v>#REF!</v>
      </c>
      <c r="E26" s="205" t="str">
        <f>R_S_Digital[[#This Row],[Severidad inherente]]</f>
        <v>MODERADO</v>
      </c>
      <c r="F26" s="205" t="str">
        <f>R_S_Digital[[#This Row],[Severidad residual]]</f>
        <v>MODERADO</v>
      </c>
      <c r="H26" s="186" t="s">
        <v>642</v>
      </c>
      <c r="I26" s="221">
        <v>6</v>
      </c>
      <c r="J26" s="221">
        <v>6</v>
      </c>
      <c r="N26" s="103" t="s">
        <v>97</v>
      </c>
    </row>
    <row r="27" spans="1:25" ht="16.5" x14ac:dyDescent="0.25">
      <c r="A27" s="203" t="str">
        <f>R_S_Digital[[#This Row],[Proceso]]</f>
        <v>Formación</v>
      </c>
      <c r="B27" s="185" t="str">
        <f>R_S_Digital[[#This Row],[Código Riesgo]]</f>
        <v>FOR-BE2</v>
      </c>
      <c r="C27" s="205" t="e">
        <f>#REF!</f>
        <v>#REF!</v>
      </c>
      <c r="D27" s="205" t="e">
        <f>#REF!</f>
        <v>#REF!</v>
      </c>
      <c r="E27" s="205" t="str">
        <f>R_S_Digital[[#This Row],[Severidad inherente]]</f>
        <v>EXTREMO</v>
      </c>
      <c r="F27" s="205" t="str">
        <f>R_S_Digital[[#This Row],[Severidad residual]]</f>
        <v>ALTO</v>
      </c>
      <c r="H27" s="186" t="s">
        <v>643</v>
      </c>
      <c r="I27" s="221">
        <v>10</v>
      </c>
      <c r="J27" s="221">
        <v>10</v>
      </c>
      <c r="N27" s="187" t="s">
        <v>62</v>
      </c>
    </row>
    <row r="28" spans="1:25" x14ac:dyDescent="0.25">
      <c r="A28" s="203" t="str">
        <f>R_S_Digital[[#This Row],[Proceso]]</f>
        <v>Formación</v>
      </c>
      <c r="B28" s="185" t="str">
        <f>R_S_Digital[[#This Row],[Código Riesgo]]</f>
        <v>FOR-BE3</v>
      </c>
      <c r="C28" s="205" t="e">
        <f>#REF!</f>
        <v>#REF!</v>
      </c>
      <c r="D28" s="205" t="e">
        <f>#REF!</f>
        <v>#REF!</v>
      </c>
      <c r="E28" s="205" t="str">
        <f>R_S_Digital[[#This Row],[Severidad inherente]]</f>
        <v>ALTO</v>
      </c>
      <c r="F28" s="205" t="str">
        <f>R_S_Digital[[#This Row],[Severidad residual]]</f>
        <v>EXTREMO</v>
      </c>
      <c r="H28" s="186" t="s">
        <v>644</v>
      </c>
      <c r="I28" s="221">
        <v>22</v>
      </c>
      <c r="J28" s="221">
        <v>16</v>
      </c>
    </row>
    <row r="29" spans="1:25" x14ac:dyDescent="0.25">
      <c r="A29" s="203" t="str">
        <f>R_S_Digital[[#This Row],[Proceso]]</f>
        <v>Formación</v>
      </c>
      <c r="B29" s="185" t="str">
        <f>R_S_Digital[[#This Row],[Código Riesgo]]</f>
        <v>F-SAB1</v>
      </c>
      <c r="C29" s="205" t="e">
        <f>#REF!</f>
        <v>#REF!</v>
      </c>
      <c r="D29" s="205" t="e">
        <f>#REF!</f>
        <v>#REF!</v>
      </c>
      <c r="E29" s="205" t="str">
        <f>R_S_Digital[[#This Row],[Severidad inherente]]</f>
        <v>EXTREMO</v>
      </c>
      <c r="F29" s="205" t="str">
        <f>R_S_Digital[[#This Row],[Severidad residual]]</f>
        <v>EXTREMO</v>
      </c>
      <c r="H29" s="186" t="s">
        <v>645</v>
      </c>
      <c r="I29" s="221">
        <v>12</v>
      </c>
      <c r="J29" s="221">
        <v>12</v>
      </c>
    </row>
    <row r="30" spans="1:25" ht="30" x14ac:dyDescent="0.25">
      <c r="A30" s="203" t="str">
        <f>R_S_Digital[[#This Row],[Proceso]]</f>
        <v>Gestión de bienes y servicios</v>
      </c>
      <c r="B30" s="185" t="str">
        <f>R_S_Digital[[#This Row],[Código Riesgo]]</f>
        <v>GBS-RF1</v>
      </c>
      <c r="C30" s="205" t="e">
        <f>#REF!</f>
        <v>#REF!</v>
      </c>
      <c r="D30" s="205" t="e">
        <f>#REF!</f>
        <v>#REF!</v>
      </c>
      <c r="E30" s="205" t="str">
        <f>R_S_Digital[[#This Row],[Severidad inherente]]</f>
        <v>ALTO</v>
      </c>
      <c r="F30" s="205" t="str">
        <f>R_S_Digital[[#This Row],[Severidad residual]]</f>
        <v>ALTO</v>
      </c>
      <c r="H30" s="186" t="s">
        <v>646</v>
      </c>
      <c r="I30" s="221">
        <v>9</v>
      </c>
      <c r="J30" s="221">
        <v>9</v>
      </c>
    </row>
    <row r="31" spans="1:25" ht="30" x14ac:dyDescent="0.25">
      <c r="A31" s="203" t="str">
        <f>R_S_Digital[[#This Row],[Proceso]]</f>
        <v>Gestión de bienes y servicios</v>
      </c>
      <c r="B31" s="185" t="str">
        <f>R_S_Digital[[#This Row],[Código Riesgo]]</f>
        <v>GBS-RF2</v>
      </c>
      <c r="C31" s="205" t="e">
        <f>#REF!</f>
        <v>#REF!</v>
      </c>
      <c r="D31" s="205" t="e">
        <f>#REF!</f>
        <v>#REF!</v>
      </c>
      <c r="E31" s="205" t="str">
        <f>R_S_Digital[[#This Row],[Severidad inherente]]</f>
        <v>MODERADO</v>
      </c>
      <c r="F31" s="205" t="str">
        <f>R_S_Digital[[#This Row],[Severidad residual]]</f>
        <v>MODERADO</v>
      </c>
      <c r="H31" s="186" t="s">
        <v>647</v>
      </c>
      <c r="I31" s="221">
        <v>16</v>
      </c>
      <c r="J31" s="221">
        <v>16</v>
      </c>
    </row>
    <row r="32" spans="1:25" ht="30" x14ac:dyDescent="0.25">
      <c r="A32" s="203" t="str">
        <f>R_S_Digital[[#This Row],[Proceso]]</f>
        <v>Gestión de bienes y servicios</v>
      </c>
      <c r="B32" s="185" t="str">
        <f>R_S_Digital[[#This Row],[Código Riesgo]]</f>
        <v>GBS-RF3</v>
      </c>
      <c r="C32" s="205" t="e">
        <f>#REF!</f>
        <v>#REF!</v>
      </c>
      <c r="D32" s="205" t="e">
        <f>#REF!</f>
        <v>#REF!</v>
      </c>
      <c r="E32" s="205" t="str">
        <f>R_S_Digital[[#This Row],[Severidad inherente]]</f>
        <v>EXTREMO</v>
      </c>
      <c r="F32" s="205" t="str">
        <f>R_S_Digital[[#This Row],[Severidad residual]]</f>
        <v>EXTREMO</v>
      </c>
      <c r="H32" s="186" t="s">
        <v>648</v>
      </c>
      <c r="I32" s="221">
        <v>11</v>
      </c>
      <c r="J32" s="221">
        <v>11</v>
      </c>
    </row>
    <row r="33" spans="1:10" x14ac:dyDescent="0.25">
      <c r="A33" s="203" t="str">
        <f>R_S_Digital[[#This Row],[Proceso]]</f>
        <v>Gestión del talento humano</v>
      </c>
      <c r="B33" s="222" t="str">
        <f>R_S_Digital[[#This Row],[Código Riesgo]]</f>
        <v>GTH-TH1</v>
      </c>
      <c r="C33" s="204" t="e">
        <f>#REF!</f>
        <v>#REF!</v>
      </c>
      <c r="D33" s="204" t="e">
        <f>#REF!</f>
        <v>#REF!</v>
      </c>
      <c r="E33" s="205" t="str">
        <f>R_S_Digital[[#This Row],[Severidad inherente]]</f>
        <v>EXTREMO</v>
      </c>
      <c r="F33" s="205" t="str">
        <f>R_S_Digital[[#This Row],[Severidad residual]]</f>
        <v>MODERADO</v>
      </c>
      <c r="H33" s="186" t="s">
        <v>649</v>
      </c>
      <c r="I33" s="221">
        <v>13</v>
      </c>
      <c r="J33" s="221">
        <v>13</v>
      </c>
    </row>
    <row r="34" spans="1:10" ht="30" x14ac:dyDescent="0.25">
      <c r="A34" s="203" t="str">
        <f>R_S_Digital[[#This Row],[Proceso]]</f>
        <v>Información y comunicación</v>
      </c>
      <c r="B34" s="185" t="str">
        <f>R_S_Digital[[#This Row],[Código Riesgo]]</f>
        <v>INF-COM1</v>
      </c>
      <c r="C34" s="205" t="e">
        <f>#REF!</f>
        <v>#REF!</v>
      </c>
      <c r="D34" s="205" t="e">
        <f>#REF!</f>
        <v>#REF!</v>
      </c>
      <c r="E34" s="205" t="str">
        <f>R_S_Digital[[#This Row],[Severidad inherente]]</f>
        <v>ALTO</v>
      </c>
      <c r="F34" s="205" t="str">
        <f>R_S_Digital[[#This Row],[Severidad residual]]</f>
        <v>MODERADO</v>
      </c>
      <c r="H34" s="186" t="s">
        <v>650</v>
      </c>
      <c r="I34" s="221">
        <v>11</v>
      </c>
      <c r="J34" s="221">
        <v>11</v>
      </c>
    </row>
    <row r="35" spans="1:10" ht="30" x14ac:dyDescent="0.25">
      <c r="A35" s="203" t="str">
        <f>R_S_Digital[[#This Row],[Proceso]]</f>
        <v>Información y comunicación</v>
      </c>
      <c r="B35" s="185" t="str">
        <f>R_S_Digital[[#This Row],[Código Riesgo]]</f>
        <v>INF-GTI1</v>
      </c>
      <c r="C35" s="205" t="e">
        <f>#REF!</f>
        <v>#REF!</v>
      </c>
      <c r="D35" s="205" t="e">
        <f>#REF!</f>
        <v>#REF!</v>
      </c>
      <c r="E35" s="205" t="str">
        <f>R_S_Digital[[#This Row],[Severidad inherente]]</f>
        <v>EXTREMO</v>
      </c>
      <c r="F35" s="205" t="str">
        <f>R_S_Digital[[#This Row],[Severidad residual]]</f>
        <v>ALTO</v>
      </c>
      <c r="H35" s="186" t="s">
        <v>651</v>
      </c>
      <c r="I35" s="221">
        <v>17</v>
      </c>
      <c r="J35" s="221">
        <v>17</v>
      </c>
    </row>
    <row r="36" spans="1:10" ht="30" x14ac:dyDescent="0.25">
      <c r="A36" s="203" t="str">
        <f>R_S_Digital[[#This Row],[Proceso]]</f>
        <v>Información y comunicación</v>
      </c>
      <c r="B36" s="185" t="str">
        <f>R_S_Digital[[#This Row],[Código Riesgo]]</f>
        <v>INF-GTI2</v>
      </c>
      <c r="C36" s="205" t="e">
        <f>#REF!</f>
        <v>#REF!</v>
      </c>
      <c r="D36" s="205" t="e">
        <f>#REF!</f>
        <v>#REF!</v>
      </c>
      <c r="E36" s="205" t="str">
        <f>R_S_Digital[[#This Row],[Severidad inherente]]</f>
        <v>EXTREMO</v>
      </c>
      <c r="F36" s="205" t="str">
        <f>R_S_Digital[[#This Row],[Severidad residual]]</f>
        <v>EXTREMO</v>
      </c>
      <c r="H36" s="186" t="s">
        <v>652</v>
      </c>
      <c r="I36" s="221">
        <v>19</v>
      </c>
      <c r="J36" s="221">
        <v>19</v>
      </c>
    </row>
    <row r="37" spans="1:10" ht="30" x14ac:dyDescent="0.25">
      <c r="A37" s="203" t="str">
        <f>R_S_Digital[[#This Row],[Proceso]]</f>
        <v>Información y comunicación</v>
      </c>
      <c r="B37" s="185" t="str">
        <f>R_S_Digital[[#This Row],[Código Riesgo]]</f>
        <v>INF-GTI3</v>
      </c>
      <c r="C37" s="205" t="e">
        <f>#REF!</f>
        <v>#REF!</v>
      </c>
      <c r="D37" s="205" t="e">
        <f>#REF!</f>
        <v>#REF!</v>
      </c>
      <c r="E37" s="205" t="str">
        <f>R_S_Digital[[#This Row],[Severidad inherente]]</f>
        <v>ALTO</v>
      </c>
      <c r="F37" s="205" t="str">
        <f>R_S_Digital[[#This Row],[Severidad residual]]</f>
        <v>ALTO</v>
      </c>
      <c r="H37" s="186" t="s">
        <v>653</v>
      </c>
      <c r="I37" s="221">
        <v>3</v>
      </c>
      <c r="J37" s="221">
        <v>3</v>
      </c>
    </row>
    <row r="38" spans="1:10" ht="30" x14ac:dyDescent="0.25">
      <c r="A38" s="203" t="str">
        <f>R_S_Digital[[#This Row],[Proceso]]</f>
        <v>Información y comunicación</v>
      </c>
      <c r="B38" s="185" t="str">
        <f>R_S_Digital[[#This Row],[Código Riesgo]]</f>
        <v>INF-GTI4</v>
      </c>
      <c r="C38" s="205" t="e">
        <f>#REF!</f>
        <v>#REF!</v>
      </c>
      <c r="D38" s="205" t="e">
        <f>#REF!</f>
        <v>#REF!</v>
      </c>
      <c r="E38" s="205" t="str">
        <f>R_S_Digital[[#This Row],[Severidad inherente]]</f>
        <v>EXTREMO</v>
      </c>
      <c r="F38" s="205" t="str">
        <f>R_S_Digital[[#This Row],[Severidad residual]]</f>
        <v>ALTO</v>
      </c>
      <c r="H38" s="186" t="s">
        <v>654</v>
      </c>
      <c r="I38" s="221">
        <v>6</v>
      </c>
      <c r="J38" s="221">
        <v>6</v>
      </c>
    </row>
    <row r="39" spans="1:10" ht="30" x14ac:dyDescent="0.25">
      <c r="A39" s="203" t="str">
        <f>R_S_Digital[[#This Row],[Proceso]]</f>
        <v>Información y comunicación</v>
      </c>
      <c r="B39" s="222" t="str">
        <f>R_S_Digital[[#This Row],[Código Riesgo]]</f>
        <v>INF-GTI5</v>
      </c>
      <c r="C39" s="204" t="e">
        <f>#REF!</f>
        <v>#REF!</v>
      </c>
      <c r="D39" s="204" t="e">
        <f>#REF!</f>
        <v>#REF!</v>
      </c>
      <c r="E39" s="205" t="str">
        <f>R_S_Digital[[#This Row],[Severidad inherente]]</f>
        <v>EXTREMO</v>
      </c>
      <c r="F39" s="205" t="str">
        <f>R_S_Digital[[#This Row],[Severidad residual]]</f>
        <v>EXTREMO</v>
      </c>
      <c r="H39" s="186" t="s">
        <v>655</v>
      </c>
      <c r="I39" s="221">
        <v>13</v>
      </c>
      <c r="J39" s="221">
        <v>13</v>
      </c>
    </row>
    <row r="40" spans="1:10" x14ac:dyDescent="0.25">
      <c r="A40" s="203" t="str">
        <f>R_S_Digital[[#This Row],[Proceso]]</f>
        <v>Investigación</v>
      </c>
      <c r="B40" s="185" t="str">
        <f>R_S_Digital[[#This Row],[Código Riesgo]]</f>
        <v>INV-IA1</v>
      </c>
      <c r="C40" s="205" t="e">
        <f>#REF!</f>
        <v>#REF!</v>
      </c>
      <c r="D40" s="205" t="e">
        <f>#REF!</f>
        <v>#REF!</v>
      </c>
      <c r="E40" s="205" t="str">
        <f>R_S_Digital[[#This Row],[Severidad inherente]]</f>
        <v>EXTREMO</v>
      </c>
      <c r="F40" s="205" t="str">
        <f>R_S_Digital[[#This Row],[Severidad residual]]</f>
        <v>EXTREMO</v>
      </c>
      <c r="H40" s="186" t="s">
        <v>656</v>
      </c>
      <c r="I40" s="221">
        <v>10</v>
      </c>
      <c r="J40" s="221">
        <v>10</v>
      </c>
    </row>
    <row r="41" spans="1:10" x14ac:dyDescent="0.25">
      <c r="A41" s="203" t="str">
        <f>R_S_Digital[[#This Row],[Proceso]]</f>
        <v>Investigación</v>
      </c>
      <c r="B41" s="185" t="str">
        <f>R_S_Digital[[#This Row],[Código Riesgo]]</f>
        <v>INV-IA2</v>
      </c>
      <c r="C41" s="205" t="e">
        <f>#REF!</f>
        <v>#REF!</v>
      </c>
      <c r="D41" s="205" t="e">
        <f>#REF!</f>
        <v>#REF!</v>
      </c>
      <c r="E41" s="205" t="str">
        <f>R_S_Digital[[#This Row],[Severidad inherente]]</f>
        <v>EXTREMO</v>
      </c>
      <c r="F41" s="205" t="str">
        <f>R_S_Digital[[#This Row],[Severidad residual]]</f>
        <v>EXTREMO</v>
      </c>
      <c r="H41" s="186" t="s">
        <v>657</v>
      </c>
      <c r="I41" s="221">
        <v>25</v>
      </c>
      <c r="J41" s="221">
        <v>20</v>
      </c>
    </row>
    <row r="42" spans="1:10" x14ac:dyDescent="0.25">
      <c r="A42" s="203" t="e">
        <f>R_S_Digital[[#This Row],[Proceso]]</f>
        <v>#VALUE!</v>
      </c>
      <c r="B42" s="185" t="e">
        <f>R_S_Digital[[#This Row],[Código Riesgo]]</f>
        <v>#VALUE!</v>
      </c>
      <c r="C42" s="205" t="e">
        <f>#REF!</f>
        <v>#REF!</v>
      </c>
      <c r="D42" s="205" t="e">
        <f>#REF!</f>
        <v>#REF!</v>
      </c>
      <c r="E42" s="205" t="e">
        <f>R_S_Digital[[#This Row],[Severidad inherente]]</f>
        <v>#VALUE!</v>
      </c>
      <c r="F42" s="205" t="e">
        <f>R_S_Digital[[#This Row],[Severidad residual]]</f>
        <v>#VALUE!</v>
      </c>
      <c r="H42" s="186" t="s">
        <v>658</v>
      </c>
      <c r="I42" s="221">
        <v>11</v>
      </c>
      <c r="J42" s="221">
        <v>11</v>
      </c>
    </row>
    <row r="43" spans="1:10" x14ac:dyDescent="0.25">
      <c r="A43" s="203" t="e">
        <f>R_S_Digital[[#This Row],[Proceso]]</f>
        <v>#VALUE!</v>
      </c>
      <c r="B43" s="185" t="e">
        <f>R_S_Digital[[#This Row],[Código Riesgo]]</f>
        <v>#VALUE!</v>
      </c>
      <c r="C43" s="205" t="e">
        <f>#REF!</f>
        <v>#REF!</v>
      </c>
      <c r="D43" s="205" t="e">
        <f>#REF!</f>
        <v>#REF!</v>
      </c>
      <c r="E43" s="205" t="e">
        <f>R_S_Digital[[#This Row],[Severidad inherente]]</f>
        <v>#VALUE!</v>
      </c>
      <c r="F43" s="205" t="e">
        <f>R_S_Digital[[#This Row],[Severidad residual]]</f>
        <v>#VALUE!</v>
      </c>
      <c r="H43" s="186" t="s">
        <v>659</v>
      </c>
      <c r="I43" s="221">
        <v>11</v>
      </c>
      <c r="J43" s="221">
        <v>11</v>
      </c>
    </row>
    <row r="44" spans="1:10" x14ac:dyDescent="0.25">
      <c r="A44" s="203" t="e">
        <f>R_S_Digital[[#This Row],[Proceso]]</f>
        <v>#VALUE!</v>
      </c>
      <c r="B44" s="185" t="e">
        <f>R_S_Digital[[#This Row],[Código Riesgo]]</f>
        <v>#VALUE!</v>
      </c>
      <c r="C44" s="205" t="e">
        <f>#REF!</f>
        <v>#REF!</v>
      </c>
      <c r="D44" s="205" t="e">
        <f>#REF!</f>
        <v>#REF!</v>
      </c>
      <c r="E44" s="205" t="e">
        <f>R_S_Digital[[#This Row],[Severidad inherente]]</f>
        <v>#VALUE!</v>
      </c>
      <c r="F44" s="205" t="e">
        <f>R_S_Digital[[#This Row],[Severidad residual]]</f>
        <v>#VALUE!</v>
      </c>
      <c r="H44" s="186" t="s">
        <v>660</v>
      </c>
      <c r="I44" s="221">
        <v>8</v>
      </c>
      <c r="J44" s="221">
        <v>8</v>
      </c>
    </row>
    <row r="45" spans="1:10" x14ac:dyDescent="0.25">
      <c r="A45" s="203" t="e">
        <f>R_S_Digital[[#This Row],[Proceso]]</f>
        <v>#VALUE!</v>
      </c>
      <c r="B45" s="185" t="e">
        <f>R_S_Digital[[#This Row],[Código Riesgo]]</f>
        <v>#VALUE!</v>
      </c>
      <c r="C45" s="205" t="e">
        <f>#REF!</f>
        <v>#REF!</v>
      </c>
      <c r="D45" s="205" t="e">
        <f>#REF!</f>
        <v>#REF!</v>
      </c>
      <c r="E45" s="205" t="e">
        <f>R_S_Digital[[#This Row],[Severidad inherente]]</f>
        <v>#VALUE!</v>
      </c>
      <c r="F45" s="205" t="e">
        <f>R_S_Digital[[#This Row],[Severidad residual]]</f>
        <v>#VALUE!</v>
      </c>
      <c r="H45" s="186" t="s">
        <v>661</v>
      </c>
      <c r="I45" s="221">
        <v>10</v>
      </c>
      <c r="J45" s="221">
        <v>10</v>
      </c>
    </row>
    <row r="46" spans="1:10" x14ac:dyDescent="0.25">
      <c r="A46" s="203" t="e">
        <f>R_S_Digital[[#This Row],[Proceso]]</f>
        <v>#VALUE!</v>
      </c>
      <c r="B46" s="185" t="e">
        <f>R_S_Digital[[#This Row],[Código Riesgo]]</f>
        <v>#VALUE!</v>
      </c>
      <c r="C46" s="205" t="e">
        <f>#REF!</f>
        <v>#REF!</v>
      </c>
      <c r="D46" s="205" t="e">
        <f>#REF!</f>
        <v>#REF!</v>
      </c>
      <c r="E46" s="205" t="e">
        <f>R_S_Digital[[#This Row],[Severidad inherente]]</f>
        <v>#VALUE!</v>
      </c>
      <c r="F46" s="205" t="e">
        <f>R_S_Digital[[#This Row],[Severidad residual]]</f>
        <v>#VALUE!</v>
      </c>
      <c r="H46" s="186" t="s">
        <v>662</v>
      </c>
      <c r="I46" s="221">
        <v>21</v>
      </c>
      <c r="J46" s="221">
        <v>13</v>
      </c>
    </row>
    <row r="47" spans="1:10" x14ac:dyDescent="0.25">
      <c r="A47" s="203" t="e">
        <f>R_S_Digital[[#This Row],[Proceso]]</f>
        <v>#VALUE!</v>
      </c>
      <c r="B47" s="222" t="e">
        <f>R_S_Digital[[#This Row],[Código Riesgo]]</f>
        <v>#VALUE!</v>
      </c>
      <c r="C47" s="204" t="e">
        <f>#REF!</f>
        <v>#REF!</v>
      </c>
      <c r="D47" s="204" t="e">
        <f>#REF!</f>
        <v>#REF!</v>
      </c>
      <c r="E47" s="205" t="e">
        <f>R_S_Digital[[#This Row],[Severidad inherente]]</f>
        <v>#VALUE!</v>
      </c>
      <c r="F47" s="205" t="e">
        <f>R_S_Digital[[#This Row],[Severidad residual]]</f>
        <v>#VALUE!</v>
      </c>
      <c r="H47" s="186" t="s">
        <v>663</v>
      </c>
      <c r="I47" s="221">
        <v>10</v>
      </c>
      <c r="J47" s="221">
        <v>10</v>
      </c>
    </row>
    <row r="48" spans="1:10" x14ac:dyDescent="0.25">
      <c r="A48" s="203" t="e">
        <f>R_S_Digital[[#This Row],[Proceso]]</f>
        <v>#VALUE!</v>
      </c>
      <c r="B48" s="185" t="e">
        <f>R_S_Digital[[#This Row],[Código Riesgo]]</f>
        <v>#VALUE!</v>
      </c>
      <c r="C48" s="205" t="e">
        <f>#REF!</f>
        <v>#REF!</v>
      </c>
      <c r="D48" s="205" t="e">
        <f>#REF!</f>
        <v>#REF!</v>
      </c>
      <c r="E48" s="205" t="e">
        <f>R_S_Digital[[#This Row],[Severidad inherente]]</f>
        <v>#VALUE!</v>
      </c>
      <c r="F48" s="205" t="e">
        <f>R_S_Digital[[#This Row],[Severidad residual]]</f>
        <v>#VALUE!</v>
      </c>
      <c r="H48" s="186" t="s">
        <v>664</v>
      </c>
      <c r="I48" s="221">
        <v>11</v>
      </c>
      <c r="J48" s="221">
        <v>11</v>
      </c>
    </row>
    <row r="49" spans="1:10" x14ac:dyDescent="0.25">
      <c r="A49" s="203" t="e">
        <f>R_S_Digital[[#This Row],[Proceso]]</f>
        <v>#VALUE!</v>
      </c>
      <c r="B49" s="185" t="e">
        <f>R_S_Digital[[#This Row],[Código Riesgo]]</f>
        <v>#VALUE!</v>
      </c>
      <c r="C49" s="205" t="e">
        <f>#REF!</f>
        <v>#REF!</v>
      </c>
      <c r="D49" s="205" t="e">
        <f>#REF!</f>
        <v>#REF!</v>
      </c>
      <c r="E49" s="205" t="e">
        <f>R_S_Digital[[#This Row],[Severidad inherente]]</f>
        <v>#VALUE!</v>
      </c>
      <c r="F49" s="205" t="e">
        <f>R_S_Digital[[#This Row],[Severidad residual]]</f>
        <v>#VALUE!</v>
      </c>
      <c r="H49" s="186" t="s">
        <v>665</v>
      </c>
      <c r="I49" s="221">
        <v>17</v>
      </c>
      <c r="J49" s="221">
        <v>17</v>
      </c>
    </row>
    <row r="50" spans="1:10" x14ac:dyDescent="0.25">
      <c r="A50" s="203" t="e">
        <f>R_S_Digital[[#This Row],[Proceso]]</f>
        <v>#VALUE!</v>
      </c>
      <c r="B50" s="185" t="e">
        <f>R_S_Digital[[#This Row],[Código Riesgo]]</f>
        <v>#VALUE!</v>
      </c>
      <c r="C50" s="205" t="e">
        <f>#REF!</f>
        <v>#REF!</v>
      </c>
      <c r="D50" s="205" t="e">
        <f>#REF!</f>
        <v>#REF!</v>
      </c>
      <c r="E50" s="205" t="e">
        <f>R_S_Digital[[#This Row],[Severidad inherente]]</f>
        <v>#VALUE!</v>
      </c>
      <c r="F50" s="205" t="e">
        <f>R_S_Digital[[#This Row],[Severidad residual]]</f>
        <v>#VALUE!</v>
      </c>
      <c r="H50" s="186" t="s">
        <v>666</v>
      </c>
      <c r="I50" s="221">
        <v>8</v>
      </c>
      <c r="J50" s="221">
        <v>8</v>
      </c>
    </row>
    <row r="51" spans="1:10" x14ac:dyDescent="0.25">
      <c r="A51" s="203" t="e">
        <f>R_S_Digital[[#This Row],[Proceso]]</f>
        <v>#VALUE!</v>
      </c>
      <c r="B51" s="185" t="e">
        <f>R_S_Digital[[#This Row],[Código Riesgo]]</f>
        <v>#VALUE!</v>
      </c>
      <c r="C51" s="205" t="e">
        <f>#REF!</f>
        <v>#REF!</v>
      </c>
      <c r="D51" s="205" t="e">
        <f>#REF!</f>
        <v>#REF!</v>
      </c>
      <c r="E51" s="205" t="e">
        <f>R_S_Digital[[#This Row],[Severidad inherente]]</f>
        <v>#VALUE!</v>
      </c>
      <c r="F51" s="205" t="e">
        <f>R_S_Digital[[#This Row],[Severidad residual]]</f>
        <v>#VALUE!</v>
      </c>
      <c r="H51" s="186" t="s">
        <v>667</v>
      </c>
      <c r="I51" s="221">
        <v>17</v>
      </c>
      <c r="J51" s="221">
        <v>17</v>
      </c>
    </row>
    <row r="52" spans="1:10" x14ac:dyDescent="0.25">
      <c r="A52" s="203" t="e">
        <f>R_S_Digital[[#This Row],[Proceso]]</f>
        <v>#VALUE!</v>
      </c>
      <c r="B52" s="185" t="e">
        <f>R_S_Digital[[#This Row],[Código Riesgo]]</f>
        <v>#VALUE!</v>
      </c>
      <c r="C52" s="205" t="e">
        <f>#REF!</f>
        <v>#REF!</v>
      </c>
      <c r="D52" s="205" t="e">
        <f>#REF!</f>
        <v>#REF!</v>
      </c>
      <c r="E52" s="205" t="e">
        <f>R_S_Digital[[#This Row],[Severidad inherente]]</f>
        <v>#VALUE!</v>
      </c>
      <c r="F52" s="205" t="e">
        <f>R_S_Digital[[#This Row],[Severidad residual]]</f>
        <v>#VALUE!</v>
      </c>
      <c r="H52" s="186" t="s">
        <v>668</v>
      </c>
      <c r="I52" s="221">
        <v>15</v>
      </c>
      <c r="J52" s="221">
        <v>15</v>
      </c>
    </row>
    <row r="53" spans="1:10" x14ac:dyDescent="0.25">
      <c r="A53" s="203" t="e">
        <f>R_S_Digital[[#This Row],[Proceso]]</f>
        <v>#VALUE!</v>
      </c>
      <c r="B53" s="185" t="e">
        <f>R_S_Digital[[#This Row],[Código Riesgo]]</f>
        <v>#VALUE!</v>
      </c>
      <c r="C53" s="205" t="e">
        <f>#REF!</f>
        <v>#REF!</v>
      </c>
      <c r="D53" s="205" t="e">
        <f>#REF!</f>
        <v>#REF!</v>
      </c>
      <c r="E53" s="205" t="e">
        <f>R_S_Digital[[#This Row],[Severidad inherente]]</f>
        <v>#VALUE!</v>
      </c>
      <c r="F53" s="205" t="e">
        <f>R_S_Digital[[#This Row],[Severidad residual]]</f>
        <v>#VALUE!</v>
      </c>
      <c r="H53" s="186" t="s">
        <v>669</v>
      </c>
      <c r="I53" s="221">
        <v>6</v>
      </c>
      <c r="J53" s="221">
        <v>6</v>
      </c>
    </row>
    <row r="54" spans="1:10" x14ac:dyDescent="0.25">
      <c r="A54" s="203" t="e">
        <f>R_S_Digital[[#This Row],[Proceso]]</f>
        <v>#VALUE!</v>
      </c>
      <c r="B54" s="185" t="e">
        <f>R_S_Digital[[#This Row],[Código Riesgo]]</f>
        <v>#VALUE!</v>
      </c>
      <c r="C54" s="205" t="e">
        <f>#REF!</f>
        <v>#REF!</v>
      </c>
      <c r="D54" s="205" t="e">
        <f>#REF!</f>
        <v>#REF!</v>
      </c>
      <c r="E54" s="205" t="e">
        <f>R_S_Digital[[#This Row],[Severidad inherente]]</f>
        <v>#VALUE!</v>
      </c>
      <c r="F54" s="205" t="e">
        <f>R_S_Digital[[#This Row],[Severidad residual]]</f>
        <v>#VALUE!</v>
      </c>
      <c r="H54" s="186" t="s">
        <v>670</v>
      </c>
      <c r="I54" s="221">
        <v>18</v>
      </c>
      <c r="J54" s="221">
        <v>18</v>
      </c>
    </row>
    <row r="55" spans="1:10" x14ac:dyDescent="0.25">
      <c r="A55" s="203" t="e">
        <f>R_S_Digital[[#This Row],[Proceso]]</f>
        <v>#VALUE!</v>
      </c>
      <c r="B55" s="185" t="e">
        <f>R_S_Digital[[#This Row],[Código Riesgo]]</f>
        <v>#VALUE!</v>
      </c>
      <c r="C55" s="205" t="e">
        <f>#REF!</f>
        <v>#REF!</v>
      </c>
      <c r="D55" s="205" t="e">
        <f>#REF!</f>
        <v>#REF!</v>
      </c>
      <c r="E55" s="205" t="e">
        <f>R_S_Digital[[#This Row],[Severidad inherente]]</f>
        <v>#VALUE!</v>
      </c>
      <c r="F55" s="205" t="e">
        <f>R_S_Digital[[#This Row],[Severidad residual]]</f>
        <v>#VALUE!</v>
      </c>
      <c r="H55" s="186" t="s">
        <v>671</v>
      </c>
      <c r="I55" s="221">
        <v>18</v>
      </c>
      <c r="J55" s="221">
        <v>18</v>
      </c>
    </row>
    <row r="56" spans="1:10" x14ac:dyDescent="0.25">
      <c r="A56" s="203" t="e">
        <f>R_S_Digital[[#This Row],[Proceso]]</f>
        <v>#VALUE!</v>
      </c>
      <c r="B56" s="222" t="e">
        <f>R_S_Digital[[#This Row],[Código Riesgo]]</f>
        <v>#VALUE!</v>
      </c>
      <c r="C56" s="204" t="e">
        <f>#REF!</f>
        <v>#REF!</v>
      </c>
      <c r="D56" s="204" t="e">
        <f>#REF!</f>
        <v>#REF!</v>
      </c>
      <c r="E56" s="205" t="e">
        <f>R_S_Digital[[#This Row],[Severidad inherente]]</f>
        <v>#VALUE!</v>
      </c>
      <c r="F56" s="205" t="e">
        <f>R_S_Digital[[#This Row],[Severidad residual]]</f>
        <v>#VALUE!</v>
      </c>
      <c r="H56" s="186" t="s">
        <v>672</v>
      </c>
      <c r="I56" s="221">
        <v>18</v>
      </c>
      <c r="J56" s="221">
        <v>18</v>
      </c>
    </row>
    <row r="57" spans="1:10" x14ac:dyDescent="0.25">
      <c r="A57" s="203" t="e">
        <f>R_S_Digital[[#This Row],[Proceso]]</f>
        <v>#VALUE!</v>
      </c>
      <c r="B57" s="185" t="e">
        <f>R_S_Digital[[#This Row],[Código Riesgo]]</f>
        <v>#VALUE!</v>
      </c>
      <c r="C57" s="205" t="e">
        <f>#REF!</f>
        <v>#REF!</v>
      </c>
      <c r="D57" s="205" t="e">
        <f>#REF!</f>
        <v>#REF!</v>
      </c>
      <c r="E57" s="205" t="e">
        <f>R_S_Digital[[#This Row],[Severidad inherente]]</f>
        <v>#VALUE!</v>
      </c>
      <c r="F57" s="205" t="e">
        <f>R_S_Digital[[#This Row],[Severidad residual]]</f>
        <v>#VALUE!</v>
      </c>
      <c r="H57" s="186" t="s">
        <v>673</v>
      </c>
      <c r="I57" s="221">
        <v>18</v>
      </c>
      <c r="J57" s="221">
        <v>18</v>
      </c>
    </row>
    <row r="58" spans="1:10" x14ac:dyDescent="0.25">
      <c r="A58" s="203" t="e">
        <f>R_S_Digital[[#This Row],[Proceso]]</f>
        <v>#VALUE!</v>
      </c>
      <c r="B58" s="185" t="e">
        <f>R_S_Digital[[#This Row],[Código Riesgo]]</f>
        <v>#VALUE!</v>
      </c>
      <c r="C58" s="205" t="e">
        <f>#REF!</f>
        <v>#REF!</v>
      </c>
      <c r="D58" s="205" t="e">
        <f>#REF!</f>
        <v>#REF!</v>
      </c>
      <c r="E58" s="205" t="e">
        <f>R_S_Digital[[#This Row],[Severidad inherente]]</f>
        <v>#VALUE!</v>
      </c>
      <c r="F58" s="205" t="e">
        <f>R_S_Digital[[#This Row],[Severidad residual]]</f>
        <v>#VALUE!</v>
      </c>
      <c r="H58" s="186" t="s">
        <v>674</v>
      </c>
      <c r="I58" s="221">
        <v>20</v>
      </c>
      <c r="J58" s="221">
        <v>20</v>
      </c>
    </row>
    <row r="59" spans="1:10" x14ac:dyDescent="0.25">
      <c r="A59" s="203" t="e">
        <f>R_S_Digital[[#This Row],[Proceso]]</f>
        <v>#VALUE!</v>
      </c>
      <c r="B59" s="185" t="e">
        <f>R_S_Digital[[#This Row],[Código Riesgo]]</f>
        <v>#VALUE!</v>
      </c>
      <c r="C59" s="205" t="e">
        <f>#REF!</f>
        <v>#REF!</v>
      </c>
      <c r="D59" s="205" t="e">
        <f>#REF!</f>
        <v>#REF!</v>
      </c>
      <c r="E59" s="205" t="e">
        <f>R_S_Digital[[#This Row],[Severidad inherente]]</f>
        <v>#VALUE!</v>
      </c>
      <c r="F59" s="205" t="e">
        <f>R_S_Digital[[#This Row],[Severidad residual]]</f>
        <v>#VALUE!</v>
      </c>
      <c r="H59" s="186" t="s">
        <v>675</v>
      </c>
      <c r="I59" s="221">
        <v>11</v>
      </c>
      <c r="J59" s="221">
        <v>11</v>
      </c>
    </row>
    <row r="60" spans="1:10" x14ac:dyDescent="0.25">
      <c r="A60" s="203" t="e">
        <f>R_S_Digital[[#This Row],[Proceso]]</f>
        <v>#VALUE!</v>
      </c>
      <c r="B60" s="185" t="e">
        <f>R_S_Digital[[#This Row],[Código Riesgo]]</f>
        <v>#VALUE!</v>
      </c>
      <c r="C60" s="205" t="e">
        <f>#REF!</f>
        <v>#REF!</v>
      </c>
      <c r="D60" s="205" t="e">
        <f>#REF!</f>
        <v>#REF!</v>
      </c>
      <c r="E60" s="205" t="e">
        <f>R_S_Digital[[#This Row],[Severidad inherente]]</f>
        <v>#VALUE!</v>
      </c>
      <c r="F60" s="205" t="e">
        <f>R_S_Digital[[#This Row],[Severidad residual]]</f>
        <v>#VALUE!</v>
      </c>
      <c r="H60" s="186" t="s">
        <v>676</v>
      </c>
      <c r="I60" s="221">
        <v>20</v>
      </c>
      <c r="J60" s="221">
        <v>20</v>
      </c>
    </row>
    <row r="61" spans="1:10" x14ac:dyDescent="0.25">
      <c r="A61" s="203" t="e">
        <f>R_S_Digital[[#This Row],[Proceso]]</f>
        <v>#VALUE!</v>
      </c>
      <c r="B61" s="185" t="e">
        <f>R_S_Digital[[#This Row],[Código Riesgo]]</f>
        <v>#VALUE!</v>
      </c>
      <c r="C61" s="205" t="e">
        <f>#REF!</f>
        <v>#REF!</v>
      </c>
      <c r="D61" s="205" t="e">
        <f>#REF!</f>
        <v>#REF!</v>
      </c>
      <c r="E61" s="205" t="e">
        <f>R_S_Digital[[#This Row],[Severidad inherente]]</f>
        <v>#VALUE!</v>
      </c>
      <c r="F61" s="205" t="e">
        <f>R_S_Digital[[#This Row],[Severidad residual]]</f>
        <v>#VALUE!</v>
      </c>
      <c r="H61" s="186" t="s">
        <v>677</v>
      </c>
      <c r="I61" s="221">
        <v>11</v>
      </c>
      <c r="J61" s="221">
        <v>11</v>
      </c>
    </row>
    <row r="62" spans="1:10" x14ac:dyDescent="0.25">
      <c r="A62" s="203" t="e">
        <f>R_S_Digital[[#This Row],[Proceso]]</f>
        <v>#VALUE!</v>
      </c>
      <c r="B62" s="185" t="e">
        <f>R_S_Digital[[#This Row],[Código Riesgo]]</f>
        <v>#VALUE!</v>
      </c>
      <c r="C62" s="205" t="e">
        <f>#REF!</f>
        <v>#REF!</v>
      </c>
      <c r="D62" s="205" t="e">
        <f>#REF!</f>
        <v>#REF!</v>
      </c>
      <c r="E62" s="205" t="e">
        <f>R_S_Digital[[#This Row],[Severidad inherente]]</f>
        <v>#VALUE!</v>
      </c>
      <c r="F62" s="205" t="e">
        <f>R_S_Digital[[#This Row],[Severidad residual]]</f>
        <v>#VALUE!</v>
      </c>
      <c r="H62" s="186" t="s">
        <v>678</v>
      </c>
      <c r="I62" s="221">
        <v>10</v>
      </c>
      <c r="J62" s="221">
        <v>10</v>
      </c>
    </row>
    <row r="63" spans="1:10" x14ac:dyDescent="0.25">
      <c r="A63" s="203" t="e">
        <f>R_S_Digital[[#This Row],[Proceso]]</f>
        <v>#VALUE!</v>
      </c>
      <c r="B63" s="185" t="e">
        <f>R_S_Digital[[#This Row],[Código Riesgo]]</f>
        <v>#VALUE!</v>
      </c>
      <c r="C63" s="205" t="e">
        <f>#REF!</f>
        <v>#REF!</v>
      </c>
      <c r="D63" s="205" t="e">
        <f>#REF!</f>
        <v>#REF!</v>
      </c>
      <c r="E63" s="205" t="e">
        <f>R_S_Digital[[#This Row],[Severidad inherente]]</f>
        <v>#VALUE!</v>
      </c>
      <c r="F63" s="205" t="e">
        <f>R_S_Digital[[#This Row],[Severidad residual]]</f>
        <v>#VALUE!</v>
      </c>
      <c r="H63" s="186" t="s">
        <v>679</v>
      </c>
      <c r="I63" s="221">
        <v>14</v>
      </c>
      <c r="J63" s="221">
        <v>14</v>
      </c>
    </row>
  </sheetData>
  <mergeCells count="12">
    <mergeCell ref="N12:R12"/>
    <mergeCell ref="Y12:AC12"/>
    <mergeCell ref="M14:R14"/>
    <mergeCell ref="L15:L19"/>
    <mergeCell ref="N21:R21"/>
    <mergeCell ref="L6:L10"/>
    <mergeCell ref="H1:J2"/>
    <mergeCell ref="A2:C2"/>
    <mergeCell ref="M5:R5"/>
    <mergeCell ref="X5:AC5"/>
    <mergeCell ref="W6:W10"/>
    <mergeCell ref="S1:V2"/>
  </mergeCells>
  <conditionalFormatting sqref="D6:D63 F6:F63">
    <cfRule type="expression" dxfId="0" priority="2">
      <formula>C6=D6</formula>
    </cfRule>
  </conditionalFormatting>
  <pageMargins left="0.7" right="0.7" top="0.75" bottom="0.75" header="0.3" footer="0.3"/>
  <pageSetup orientation="portrait"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81444-3A0A-496A-874C-268FB1049399}">
  <sheetPr>
    <tabColor rgb="FF7030A0"/>
  </sheetPr>
  <dimension ref="A1:K22"/>
  <sheetViews>
    <sheetView zoomScale="110" zoomScaleNormal="110" workbookViewId="0">
      <pane ySplit="2" topLeftCell="A3" activePane="bottomLeft" state="frozen"/>
      <selection pane="bottomLeft" activeCell="D5" sqref="D5"/>
    </sheetView>
  </sheetViews>
  <sheetFormatPr baseColWidth="10" defaultColWidth="11.42578125" defaultRowHeight="15.75" x14ac:dyDescent="0.25"/>
  <cols>
    <col min="1" max="1" width="29" style="229" customWidth="1"/>
    <col min="2" max="3" width="11.42578125" style="229"/>
    <col min="4" max="4" width="15.28515625" style="229" customWidth="1"/>
    <col min="5" max="5" width="25.5703125" style="229" customWidth="1"/>
    <col min="6" max="6" width="15.7109375" style="229" customWidth="1"/>
    <col min="7" max="7" width="27.5703125" style="229" customWidth="1"/>
    <col min="8" max="10" width="11.42578125" style="229"/>
    <col min="11" max="11" width="21.85546875" style="229" customWidth="1"/>
    <col min="12" max="16384" width="11.42578125" style="229"/>
  </cols>
  <sheetData>
    <row r="1" spans="1:11" x14ac:dyDescent="0.25">
      <c r="A1" s="377" t="s">
        <v>680</v>
      </c>
      <c r="B1" s="378"/>
      <c r="C1" s="378"/>
      <c r="D1" s="378"/>
      <c r="E1" s="378"/>
      <c r="F1" s="378"/>
      <c r="G1" s="378"/>
      <c r="H1" s="378"/>
      <c r="I1" s="378"/>
      <c r="J1" s="378"/>
      <c r="K1" s="378"/>
    </row>
    <row r="2" spans="1:11" ht="22.5" x14ac:dyDescent="0.25">
      <c r="A2" s="230" t="s">
        <v>681</v>
      </c>
      <c r="B2" s="230" t="s">
        <v>89</v>
      </c>
      <c r="C2" s="230" t="s">
        <v>115</v>
      </c>
      <c r="D2" s="230" t="s">
        <v>100</v>
      </c>
      <c r="E2" s="230" t="s">
        <v>682</v>
      </c>
      <c r="F2" s="230" t="s">
        <v>683</v>
      </c>
      <c r="G2" s="230" t="s">
        <v>684</v>
      </c>
      <c r="H2" s="230" t="s">
        <v>685</v>
      </c>
      <c r="I2" s="230" t="s">
        <v>492</v>
      </c>
      <c r="J2" s="230" t="s">
        <v>686</v>
      </c>
      <c r="K2" s="230" t="s">
        <v>687</v>
      </c>
    </row>
    <row r="3" spans="1:11" ht="78.75" x14ac:dyDescent="0.25">
      <c r="A3" s="231" t="s">
        <v>688</v>
      </c>
      <c r="B3" s="232" t="s">
        <v>689</v>
      </c>
      <c r="C3" s="232" t="s">
        <v>690</v>
      </c>
      <c r="D3" s="232" t="s">
        <v>691</v>
      </c>
      <c r="E3" s="233" t="s">
        <v>692</v>
      </c>
      <c r="F3" s="233" t="s">
        <v>693</v>
      </c>
      <c r="G3" s="233" t="s">
        <v>694</v>
      </c>
      <c r="H3" s="233" t="s">
        <v>695</v>
      </c>
      <c r="I3" s="234" t="s">
        <v>696</v>
      </c>
      <c r="J3" s="232" t="s">
        <v>697</v>
      </c>
      <c r="K3" s="232" t="s">
        <v>698</v>
      </c>
    </row>
    <row r="4" spans="1:11" ht="67.5" x14ac:dyDescent="0.25">
      <c r="A4" s="231" t="s">
        <v>699</v>
      </c>
      <c r="B4" s="232" t="s">
        <v>700</v>
      </c>
      <c r="C4" s="232" t="s">
        <v>701</v>
      </c>
      <c r="D4" s="234" t="s">
        <v>702</v>
      </c>
      <c r="E4" s="234" t="s">
        <v>703</v>
      </c>
      <c r="F4" s="233" t="s">
        <v>704</v>
      </c>
      <c r="G4" s="233" t="s">
        <v>705</v>
      </c>
      <c r="H4" s="233" t="s">
        <v>706</v>
      </c>
      <c r="I4" s="234" t="s">
        <v>707</v>
      </c>
      <c r="J4" s="232" t="s">
        <v>708</v>
      </c>
      <c r="K4" s="232" t="s">
        <v>709</v>
      </c>
    </row>
    <row r="5" spans="1:11" ht="78.75" x14ac:dyDescent="0.25">
      <c r="A5" s="231" t="s">
        <v>710</v>
      </c>
      <c r="B5" s="233" t="s">
        <v>711</v>
      </c>
      <c r="C5" s="232" t="s">
        <v>712</v>
      </c>
      <c r="D5" s="234" t="s">
        <v>156</v>
      </c>
      <c r="E5" s="234" t="s">
        <v>713</v>
      </c>
      <c r="F5" s="233" t="s">
        <v>714</v>
      </c>
      <c r="G5" s="233" t="s">
        <v>692</v>
      </c>
      <c r="H5" s="233" t="s">
        <v>715</v>
      </c>
      <c r="I5" s="234" t="s">
        <v>716</v>
      </c>
      <c r="J5" s="232" t="s">
        <v>717</v>
      </c>
      <c r="K5" s="232" t="s">
        <v>718</v>
      </c>
    </row>
    <row r="6" spans="1:11" ht="56.25" x14ac:dyDescent="0.25">
      <c r="A6" s="232" t="s">
        <v>719</v>
      </c>
      <c r="B6" s="233" t="s">
        <v>720</v>
      </c>
      <c r="C6" s="232" t="s">
        <v>721</v>
      </c>
      <c r="D6" s="232" t="s">
        <v>722</v>
      </c>
      <c r="E6" s="232" t="s">
        <v>723</v>
      </c>
      <c r="F6" s="234" t="s">
        <v>724</v>
      </c>
      <c r="G6" s="232" t="s">
        <v>725</v>
      </c>
      <c r="H6" s="234" t="s">
        <v>726</v>
      </c>
      <c r="I6" s="234" t="s">
        <v>727</v>
      </c>
      <c r="J6" s="232" t="s">
        <v>728</v>
      </c>
      <c r="K6" s="232" t="s">
        <v>729</v>
      </c>
    </row>
    <row r="7" spans="1:11" ht="56.25" x14ac:dyDescent="0.25">
      <c r="A7" s="232" t="s">
        <v>730</v>
      </c>
      <c r="B7" s="235" t="s">
        <v>731</v>
      </c>
      <c r="C7" s="232" t="s">
        <v>732</v>
      </c>
      <c r="D7" s="232" t="s">
        <v>733</v>
      </c>
      <c r="E7" s="232" t="s">
        <v>725</v>
      </c>
      <c r="F7" s="233" t="s">
        <v>734</v>
      </c>
      <c r="G7" s="233" t="s">
        <v>735</v>
      </c>
      <c r="H7" s="233" t="s">
        <v>736</v>
      </c>
      <c r="I7" s="234"/>
      <c r="J7" s="232" t="s">
        <v>737</v>
      </c>
      <c r="K7" s="232" t="s">
        <v>738</v>
      </c>
    </row>
    <row r="8" spans="1:11" ht="45.75" x14ac:dyDescent="0.25">
      <c r="A8" s="232" t="s">
        <v>739</v>
      </c>
      <c r="B8" s="236" t="s">
        <v>740</v>
      </c>
      <c r="C8" s="232" t="s">
        <v>741</v>
      </c>
      <c r="D8" s="232" t="s">
        <v>742</v>
      </c>
      <c r="E8" s="232" t="s">
        <v>743</v>
      </c>
      <c r="F8" s="237" t="s">
        <v>744</v>
      </c>
      <c r="G8" s="237" t="s">
        <v>745</v>
      </c>
      <c r="H8" s="232" t="s">
        <v>746</v>
      </c>
      <c r="I8" s="234"/>
      <c r="J8" s="232" t="s">
        <v>747</v>
      </c>
      <c r="K8" s="232" t="s">
        <v>748</v>
      </c>
    </row>
    <row r="9" spans="1:11" ht="45" x14ac:dyDescent="0.25">
      <c r="A9" s="232" t="s">
        <v>711</v>
      </c>
      <c r="B9" s="232" t="s">
        <v>749</v>
      </c>
      <c r="C9" s="232" t="s">
        <v>750</v>
      </c>
      <c r="D9" s="232"/>
      <c r="E9" s="232" t="s">
        <v>751</v>
      </c>
      <c r="F9" s="232" t="s">
        <v>752</v>
      </c>
      <c r="G9" s="232" t="s">
        <v>753</v>
      </c>
      <c r="H9" s="232" t="s">
        <v>156</v>
      </c>
      <c r="I9" s="232"/>
      <c r="J9" s="232" t="s">
        <v>754</v>
      </c>
      <c r="K9" s="232" t="s">
        <v>755</v>
      </c>
    </row>
    <row r="10" spans="1:11" ht="56.25" x14ac:dyDescent="0.25">
      <c r="A10" s="232" t="s">
        <v>720</v>
      </c>
      <c r="B10" s="232" t="s">
        <v>756</v>
      </c>
      <c r="C10" s="232" t="s">
        <v>757</v>
      </c>
      <c r="D10" s="232"/>
      <c r="E10" s="232" t="s">
        <v>758</v>
      </c>
      <c r="F10" s="232" t="s">
        <v>759</v>
      </c>
      <c r="G10" s="232" t="s">
        <v>760</v>
      </c>
      <c r="H10" s="232" t="s">
        <v>761</v>
      </c>
      <c r="I10" s="238"/>
      <c r="J10" s="232" t="s">
        <v>762</v>
      </c>
      <c r="K10" s="233" t="s">
        <v>763</v>
      </c>
    </row>
    <row r="11" spans="1:11" ht="67.5" x14ac:dyDescent="0.25">
      <c r="A11" s="233" t="s">
        <v>764</v>
      </c>
      <c r="B11" s="232" t="s">
        <v>762</v>
      </c>
      <c r="C11" s="232" t="s">
        <v>765</v>
      </c>
      <c r="D11" s="232"/>
      <c r="E11" s="232" t="s">
        <v>766</v>
      </c>
      <c r="F11" s="232" t="s">
        <v>767</v>
      </c>
      <c r="G11" s="232" t="s">
        <v>768</v>
      </c>
      <c r="H11" s="232" t="s">
        <v>769</v>
      </c>
      <c r="I11" s="238"/>
      <c r="J11" s="232" t="s">
        <v>770</v>
      </c>
      <c r="K11" s="232" t="s">
        <v>771</v>
      </c>
    </row>
    <row r="12" spans="1:11" ht="67.5" x14ac:dyDescent="0.25">
      <c r="A12" s="233" t="s">
        <v>772</v>
      </c>
      <c r="B12" s="232" t="s">
        <v>773</v>
      </c>
      <c r="C12" s="238" t="s">
        <v>720</v>
      </c>
      <c r="D12" s="232"/>
      <c r="E12" s="232" t="s">
        <v>721</v>
      </c>
      <c r="F12" s="232" t="s">
        <v>774</v>
      </c>
      <c r="G12" s="232" t="s">
        <v>721</v>
      </c>
      <c r="H12" s="232" t="s">
        <v>732</v>
      </c>
      <c r="I12" s="238"/>
      <c r="J12" s="232" t="s">
        <v>775</v>
      </c>
      <c r="K12" s="232" t="s">
        <v>776</v>
      </c>
    </row>
    <row r="13" spans="1:11" ht="56.25" x14ac:dyDescent="0.25">
      <c r="A13" s="233" t="s">
        <v>777</v>
      </c>
      <c r="B13" s="232" t="s">
        <v>778</v>
      </c>
      <c r="C13" s="238" t="s">
        <v>779</v>
      </c>
      <c r="D13" s="232"/>
      <c r="E13" s="232"/>
      <c r="F13" s="232" t="s">
        <v>780</v>
      </c>
      <c r="G13" s="232"/>
      <c r="H13" s="232" t="s">
        <v>741</v>
      </c>
      <c r="I13" s="238"/>
      <c r="J13" s="232" t="s">
        <v>57</v>
      </c>
      <c r="K13" s="232" t="s">
        <v>781</v>
      </c>
    </row>
    <row r="14" spans="1:11" ht="34.5" x14ac:dyDescent="0.25">
      <c r="A14" s="233" t="s">
        <v>782</v>
      </c>
      <c r="B14" s="232" t="s">
        <v>783</v>
      </c>
      <c r="C14" s="238" t="s">
        <v>731</v>
      </c>
      <c r="D14" s="232"/>
      <c r="E14" s="232"/>
      <c r="F14" s="232" t="s">
        <v>784</v>
      </c>
      <c r="G14" s="232"/>
      <c r="H14" s="238"/>
      <c r="I14" s="238"/>
      <c r="J14" s="232" t="s">
        <v>57</v>
      </c>
      <c r="K14" s="232"/>
    </row>
    <row r="15" spans="1:11" ht="33.75" x14ac:dyDescent="0.25">
      <c r="A15" s="232" t="s">
        <v>785</v>
      </c>
      <c r="B15" s="232" t="s">
        <v>786</v>
      </c>
      <c r="C15" s="238"/>
      <c r="D15" s="232"/>
      <c r="E15" s="232"/>
      <c r="F15" s="232"/>
      <c r="G15" s="232"/>
      <c r="H15" s="238"/>
      <c r="I15" s="238"/>
      <c r="J15" s="232" t="s">
        <v>57</v>
      </c>
      <c r="K15" s="232"/>
    </row>
    <row r="16" spans="1:11" ht="22.5" x14ac:dyDescent="0.25">
      <c r="A16" s="233" t="s">
        <v>787</v>
      </c>
      <c r="B16" s="232" t="s">
        <v>788</v>
      </c>
      <c r="C16" s="238"/>
      <c r="D16" s="232"/>
      <c r="E16" s="232"/>
      <c r="F16" s="232"/>
      <c r="G16" s="232"/>
      <c r="H16" s="238"/>
      <c r="I16" s="238"/>
      <c r="J16" s="238"/>
      <c r="K16" s="232"/>
    </row>
    <row r="17" spans="1:11" ht="45.75" x14ac:dyDescent="0.25">
      <c r="A17" s="232" t="s">
        <v>731</v>
      </c>
      <c r="B17" s="238" t="s">
        <v>789</v>
      </c>
      <c r="C17" s="238"/>
      <c r="D17" s="232"/>
      <c r="E17" s="232"/>
      <c r="F17" s="232"/>
      <c r="G17" s="232"/>
      <c r="H17" s="238"/>
      <c r="I17" s="238"/>
      <c r="J17" s="238"/>
      <c r="K17" s="238"/>
    </row>
    <row r="18" spans="1:11" ht="57" x14ac:dyDescent="0.25">
      <c r="A18" s="233" t="s">
        <v>790</v>
      </c>
      <c r="B18" s="238" t="s">
        <v>791</v>
      </c>
      <c r="C18" s="238"/>
      <c r="D18" s="232"/>
      <c r="E18" s="232"/>
      <c r="F18" s="232"/>
      <c r="G18" s="232"/>
      <c r="H18" s="238"/>
      <c r="I18" s="238"/>
      <c r="J18" s="238"/>
      <c r="K18" s="238"/>
    </row>
    <row r="19" spans="1:11" ht="45" x14ac:dyDescent="0.25">
      <c r="A19" s="238" t="s">
        <v>156</v>
      </c>
      <c r="B19" s="239" t="s">
        <v>779</v>
      </c>
      <c r="C19" s="238"/>
      <c r="D19" s="232"/>
      <c r="E19" s="232"/>
      <c r="F19" s="232"/>
      <c r="G19" s="232"/>
      <c r="H19" s="238"/>
      <c r="I19" s="238"/>
      <c r="J19" s="238"/>
      <c r="K19" s="238"/>
    </row>
    <row r="20" spans="1:11" x14ac:dyDescent="0.25">
      <c r="A20" s="238"/>
      <c r="B20" s="238" t="s">
        <v>156</v>
      </c>
      <c r="C20" s="238"/>
      <c r="D20" s="232"/>
      <c r="E20" s="232"/>
      <c r="F20" s="232"/>
      <c r="G20" s="232"/>
      <c r="H20" s="238"/>
      <c r="I20" s="238"/>
      <c r="J20" s="238"/>
      <c r="K20" s="238"/>
    </row>
    <row r="21" spans="1:11" x14ac:dyDescent="0.25">
      <c r="A21" s="238"/>
      <c r="B21" s="238"/>
      <c r="C21" s="238"/>
      <c r="D21" s="232"/>
      <c r="E21" s="232"/>
      <c r="F21" s="232"/>
      <c r="G21" s="232"/>
      <c r="H21" s="238"/>
      <c r="I21" s="238"/>
      <c r="J21" s="238"/>
      <c r="K21" s="238"/>
    </row>
    <row r="22" spans="1:11" x14ac:dyDescent="0.25">
      <c r="A22" s="238"/>
      <c r="B22" s="238"/>
      <c r="C22" s="238"/>
      <c r="D22" s="232"/>
      <c r="E22" s="232"/>
      <c r="F22" s="232"/>
      <c r="G22" s="232"/>
      <c r="H22" s="238"/>
      <c r="I22" s="238"/>
      <c r="J22" s="238"/>
      <c r="K22" s="238"/>
    </row>
  </sheetData>
  <mergeCells count="1">
    <mergeCell ref="A1:K1"/>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29</vt:i4>
      </vt:variant>
    </vt:vector>
  </HeadingPairs>
  <TitlesOfParts>
    <vt:vector size="37" baseType="lpstr">
      <vt:lpstr>Mapa_RSD</vt:lpstr>
      <vt:lpstr>Reporte_RSD</vt:lpstr>
      <vt:lpstr>Versionador_RSD</vt:lpstr>
      <vt:lpstr>Control_RSD</vt:lpstr>
      <vt:lpstr>Condiciones_RSD</vt:lpstr>
      <vt:lpstr>Amenazas</vt:lpstr>
      <vt:lpstr>Matrices_RSD</vt:lpstr>
      <vt:lpstr>Vulnerabilidades</vt:lpstr>
      <vt:lpstr>ActivoInformación</vt:lpstr>
      <vt:lpstr>Afectación</vt:lpstr>
      <vt:lpstr>C_Atributos</vt:lpstr>
      <vt:lpstr>C_Efecto</vt:lpstr>
      <vt:lpstr>C_Forma</vt:lpstr>
      <vt:lpstr>C_Frecuencia</vt:lpstr>
      <vt:lpstr>C_Momento</vt:lpstr>
      <vt:lpstr>C_Peso</vt:lpstr>
      <vt:lpstr>Económica</vt:lpstr>
      <vt:lpstr>F_Evento_Externo</vt:lpstr>
      <vt:lpstr>F_Infraestructura</vt:lpstr>
      <vt:lpstr>F_Procesos</vt:lpstr>
      <vt:lpstr>F_Talento_Humano</vt:lpstr>
      <vt:lpstr>F_Tecnología</vt:lpstr>
      <vt:lpstr>Factor</vt:lpstr>
      <vt:lpstr>Frecuencia</vt:lpstr>
      <vt:lpstr>I_Cualitativo</vt:lpstr>
      <vt:lpstr>I_Cuantitativo</vt:lpstr>
      <vt:lpstr>Imagen</vt:lpstr>
      <vt:lpstr>P_Cualitativa</vt:lpstr>
      <vt:lpstr>P_Cuantitativa</vt:lpstr>
      <vt:lpstr>Pesos</vt:lpstr>
      <vt:lpstr>Procesos</vt:lpstr>
      <vt:lpstr>Reputacional</vt:lpstr>
      <vt:lpstr>RiesgoSD</vt:lpstr>
      <vt:lpstr>S_Nivel</vt:lpstr>
      <vt:lpstr>S_Posición</vt:lpstr>
      <vt:lpstr>Severidad</vt:lpstr>
      <vt:lpstr>Tratamiento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Quilaguy Bernal</dc:creator>
  <cp:keywords/>
  <dc:description/>
  <cp:lastModifiedBy>Alix Lorena Moreno Cordoba</cp:lastModifiedBy>
  <cp:revision/>
  <dcterms:created xsi:type="dcterms:W3CDTF">2024-08-11T20:08:17Z</dcterms:created>
  <dcterms:modified xsi:type="dcterms:W3CDTF">2025-04-03T04:32:53Z</dcterms:modified>
  <cp:category/>
  <cp:contentStatus/>
</cp:coreProperties>
</file>